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28695" windowHeight="12780"/>
  </bookViews>
  <sheets>
    <sheet name="9.1 DIPA 401007" sheetId="4" r:id="rId1"/>
    <sheet name="12.4.1 DIPA 401324" sheetId="6" r:id="rId2"/>
    <sheet name="13.4.1 DIPA 400145" sheetId="7" r:id="rId3"/>
    <sheet name="9.2 PNBP" sheetId="5" r:id="rId4"/>
    <sheet name="Sheet1" sheetId="1" r:id="rId5"/>
    <sheet name="Sheet2" sheetId="2" r:id="rId6"/>
    <sheet name="Sheet3" sheetId="3" r:id="rId7"/>
  </sheets>
  <externalReferences>
    <externalReference r:id="rId8"/>
  </externalReferences>
  <calcPr calcId="124519"/>
</workbook>
</file>

<file path=xl/calcChain.xml><?xml version="1.0" encoding="utf-8"?>
<calcChain xmlns="http://schemas.openxmlformats.org/spreadsheetml/2006/main">
  <c r="I10" i="7"/>
  <c r="I16" s="1"/>
  <c r="H10"/>
  <c r="G10"/>
  <c r="F10"/>
  <c r="E10"/>
  <c r="D10"/>
  <c r="I5"/>
  <c r="I15" s="1"/>
  <c r="H5"/>
  <c r="G5"/>
  <c r="F5"/>
  <c r="E5"/>
  <c r="D5"/>
  <c r="E16" l="1"/>
  <c r="F15"/>
  <c r="D16"/>
  <c r="F16"/>
  <c r="E15"/>
  <c r="H16"/>
  <c r="D15"/>
  <c r="G16"/>
  <c r="D17"/>
  <c r="L3"/>
  <c r="L4"/>
  <c r="H15" l="1"/>
  <c r="H17"/>
  <c r="F17"/>
  <c r="G15"/>
  <c r="G17"/>
  <c r="E17"/>
  <c r="I17"/>
  <c r="D16" i="6"/>
  <c r="E16"/>
  <c r="F16"/>
  <c r="G16"/>
  <c r="H16"/>
  <c r="I16"/>
  <c r="F10"/>
  <c r="G10"/>
  <c r="I10"/>
  <c r="H10"/>
  <c r="P2" i="7"/>
  <c r="P1"/>
  <c r="S1"/>
  <c r="O1"/>
  <c r="O2"/>
  <c r="R1"/>
  <c r="R2"/>
  <c r="S2"/>
  <c r="Q1"/>
  <c r="Q2"/>
  <c r="D18" l="1"/>
  <c r="T2"/>
  <c r="U15" i="5"/>
  <c r="T15"/>
  <c r="M17" i="4"/>
  <c r="L17"/>
  <c r="I5" i="6" l="1"/>
  <c r="T20" i="5"/>
  <c r="U18"/>
  <c r="T18"/>
  <c r="U9"/>
  <c r="T9"/>
  <c r="M16" i="4"/>
  <c r="M25" s="1"/>
  <c r="M9"/>
  <c r="M8"/>
  <c r="M10" s="1"/>
  <c r="F18" i="6"/>
  <c r="G20"/>
  <c r="F20"/>
  <c r="H19"/>
  <c r="G19"/>
  <c r="F19"/>
  <c r="E10"/>
  <c r="D10"/>
  <c r="D19" s="1"/>
  <c r="H5"/>
  <c r="H20" s="1"/>
  <c r="G5"/>
  <c r="G18" s="1"/>
  <c r="F5"/>
  <c r="E5"/>
  <c r="D5"/>
  <c r="D20" s="1"/>
  <c r="T19" i="5" l="1"/>
  <c r="T10"/>
  <c r="M23" i="4"/>
  <c r="M24"/>
  <c r="I20" i="6"/>
  <c r="I19"/>
  <c r="I18"/>
  <c r="T11" i="5"/>
  <c r="M22" i="4"/>
  <c r="M26"/>
  <c r="E20" i="6"/>
  <c r="E19"/>
  <c r="E18"/>
  <c r="D18"/>
  <c r="H18"/>
  <c r="L3"/>
  <c r="L4"/>
  <c r="P19" i="5" l="1"/>
  <c r="H19"/>
  <c r="S18"/>
  <c r="R20" s="1"/>
  <c r="R18"/>
  <c r="Q18"/>
  <c r="P18"/>
  <c r="O18"/>
  <c r="N20" s="1"/>
  <c r="N18"/>
  <c r="M18"/>
  <c r="L20" s="1"/>
  <c r="L18"/>
  <c r="K18"/>
  <c r="J20" s="1"/>
  <c r="J18"/>
  <c r="I18"/>
  <c r="H18"/>
  <c r="G18"/>
  <c r="F20" s="1"/>
  <c r="F18"/>
  <c r="E18"/>
  <c r="D20" s="1"/>
  <c r="D18"/>
  <c r="L11"/>
  <c r="D11"/>
  <c r="S9"/>
  <c r="R11" s="1"/>
  <c r="R9"/>
  <c r="Q9"/>
  <c r="P9"/>
  <c r="P10" s="1"/>
  <c r="O9"/>
  <c r="N11" s="1"/>
  <c r="N9"/>
  <c r="M9"/>
  <c r="L9"/>
  <c r="L10" s="1"/>
  <c r="K9"/>
  <c r="J11" s="1"/>
  <c r="J9"/>
  <c r="I9"/>
  <c r="H9"/>
  <c r="H10" s="1"/>
  <c r="G9"/>
  <c r="F11" s="1"/>
  <c r="F9"/>
  <c r="E9"/>
  <c r="D9"/>
  <c r="D10" s="1"/>
  <c r="P8"/>
  <c r="L8"/>
  <c r="R2" i="6"/>
  <c r="O2"/>
  <c r="Q1"/>
  <c r="S2"/>
  <c r="P1"/>
  <c r="R1"/>
  <c r="O1"/>
  <c r="P2"/>
  <c r="S1"/>
  <c r="Q2"/>
  <c r="D21" l="1"/>
  <c r="T2"/>
  <c r="J19" i="5"/>
  <c r="R19"/>
  <c r="J10"/>
  <c r="R10"/>
  <c r="H20"/>
  <c r="P20"/>
  <c r="H11"/>
  <c r="P11"/>
  <c r="F19"/>
  <c r="N19"/>
  <c r="F10"/>
  <c r="N10"/>
  <c r="D19"/>
  <c r="L19"/>
  <c r="W2"/>
  <c r="W3" s="1"/>
  <c r="W4"/>
  <c r="L16" i="4" l="1"/>
  <c r="J16"/>
  <c r="J26" s="1"/>
  <c r="I16"/>
  <c r="I26" s="1"/>
  <c r="H16"/>
  <c r="H26" s="1"/>
  <c r="G16"/>
  <c r="G26" s="1"/>
  <c r="F16"/>
  <c r="F26" s="1"/>
  <c r="E16"/>
  <c r="E26" s="1"/>
  <c r="K14"/>
  <c r="K13"/>
  <c r="L8"/>
  <c r="L10" s="1"/>
  <c r="J8"/>
  <c r="J10" s="1"/>
  <c r="I8"/>
  <c r="I10" s="1"/>
  <c r="H8"/>
  <c r="H10" s="1"/>
  <c r="G8"/>
  <c r="G10" s="1"/>
  <c r="F8"/>
  <c r="F10" s="1"/>
  <c r="E8"/>
  <c r="E10" s="1"/>
  <c r="K6"/>
  <c r="AC3" i="5"/>
  <c r="Z4"/>
  <c r="AD3"/>
  <c r="AB3"/>
  <c r="AC4"/>
  <c r="AA4"/>
  <c r="AD2"/>
  <c r="AB2"/>
  <c r="AA2"/>
  <c r="AC2"/>
  <c r="AA3"/>
  <c r="AD1"/>
  <c r="Z2"/>
  <c r="AA1"/>
  <c r="AB1"/>
  <c r="Z1"/>
  <c r="Z3"/>
  <c r="AC1"/>
  <c r="AB4"/>
  <c r="AD4"/>
  <c r="D21" l="1"/>
  <c r="D12"/>
  <c r="K9" i="4"/>
  <c r="K23"/>
  <c r="L26"/>
  <c r="F9"/>
  <c r="J9"/>
  <c r="E9"/>
  <c r="I9"/>
  <c r="K16"/>
  <c r="G22"/>
  <c r="G23"/>
  <c r="G24"/>
  <c r="G25"/>
  <c r="H9"/>
  <c r="L9"/>
  <c r="F22"/>
  <c r="J22"/>
  <c r="F23"/>
  <c r="J23"/>
  <c r="F24"/>
  <c r="J24"/>
  <c r="F25"/>
  <c r="J25"/>
  <c r="K8"/>
  <c r="K10" s="1"/>
  <c r="G9"/>
  <c r="E22"/>
  <c r="I22"/>
  <c r="E23"/>
  <c r="I23"/>
  <c r="E24"/>
  <c r="I24"/>
  <c r="E25"/>
  <c r="I25"/>
  <c r="H22"/>
  <c r="L22"/>
  <c r="H23"/>
  <c r="L23"/>
  <c r="H24"/>
  <c r="L24"/>
  <c r="H25"/>
  <c r="L25"/>
  <c r="O3"/>
  <c r="O4"/>
  <c r="K26" l="1"/>
  <c r="K22"/>
  <c r="K25"/>
  <c r="K24"/>
  <c r="T2"/>
  <c r="R1"/>
  <c r="U2"/>
  <c r="V2"/>
  <c r="R2"/>
  <c r="V1"/>
  <c r="T1"/>
  <c r="S1"/>
  <c r="S2"/>
  <c r="U1"/>
  <c r="U5" l="1"/>
  <c r="S3"/>
  <c r="S4" s="1"/>
  <c r="S5"/>
  <c r="T5"/>
  <c r="V5"/>
  <c r="R3"/>
  <c r="R4" s="1"/>
  <c r="W2"/>
  <c r="S6" s="1"/>
  <c r="S7" s="1"/>
  <c r="V3"/>
  <c r="V4" s="1"/>
  <c r="U3"/>
  <c r="U4" s="1"/>
  <c r="R5"/>
  <c r="T3"/>
  <c r="T4" s="1"/>
  <c r="E27"/>
  <c r="V6"/>
  <c r="V7" s="1"/>
  <c r="R6"/>
  <c r="T6"/>
  <c r="T7" s="1"/>
  <c r="U6"/>
  <c r="U7" s="1"/>
  <c r="W6" l="1"/>
  <c r="R7"/>
</calcChain>
</file>

<file path=xl/sharedStrings.xml><?xml version="1.0" encoding="utf-8"?>
<sst xmlns="http://schemas.openxmlformats.org/spreadsheetml/2006/main" count="175" uniqueCount="80">
  <si>
    <t>URAIAN</t>
  </si>
  <si>
    <t>KOMPOSISI DAN PERTUMBUHAN DIPA POLNEP
(DALAM RIBUAN RUPIAH)</t>
  </si>
  <si>
    <t>TAHUN 2010</t>
  </si>
  <si>
    <t>TAHUN 2011</t>
  </si>
  <si>
    <t>TAHUN 2012</t>
  </si>
  <si>
    <t>TAHUN 2013</t>
  </si>
  <si>
    <t>TAHUN 2014</t>
  </si>
  <si>
    <t>TAHUN 2015</t>
  </si>
  <si>
    <t>TAHUN 2016</t>
  </si>
  <si>
    <t>TAHUN 2017</t>
  </si>
  <si>
    <t>JENIS PENERIMAAN</t>
  </si>
  <si>
    <t>Rupiah Murni (RM)</t>
  </si>
  <si>
    <t>Penerimaan Negara Bukan Pajak (PNBP)</t>
  </si>
  <si>
    <t>JUMLAH PENERIMAAN</t>
  </si>
  <si>
    <t>KOMPOSISI RM</t>
  </si>
  <si>
    <t>KOMPOSISI PNBP</t>
  </si>
  <si>
    <t>JENIS BELANJA</t>
  </si>
  <si>
    <t>Belanja Pegawai (BP)</t>
  </si>
  <si>
    <t>Belanja Barang (BB)</t>
  </si>
  <si>
    <t>Belanja Modal (BM)</t>
  </si>
  <si>
    <t>Belanja Sosial (BS)</t>
  </si>
  <si>
    <t>JUMLAH BELANJA</t>
  </si>
  <si>
    <t>KOMPOSISI BP</t>
  </si>
  <si>
    <t>KOMPOSISI BB</t>
  </si>
  <si>
    <t>KOMPOSISI BM</t>
  </si>
  <si>
    <t>KOMPOSISI BS</t>
  </si>
  <si>
    <t>% PERTUMBUHAN TAHUNAN DIPA</t>
  </si>
  <si>
    <t>% LAJU PERTUMBUHAN TAHUNAN DIPA</t>
  </si>
  <si>
    <t>N/A</t>
  </si>
  <si>
    <r>
      <rPr>
        <b/>
        <sz val="11"/>
        <color theme="1"/>
        <rFont val="Arial"/>
        <family val="2"/>
      </rPr>
      <t>Tabel 9.1</t>
    </r>
    <r>
      <rPr>
        <sz val="11"/>
        <color theme="1"/>
        <rFont val="Arial"/>
        <family val="2"/>
      </rPr>
      <t xml:space="preserve"> Komposisi dan Pertumbuhan DIPA POLNEP (Dalam Ribuan Rupiah)</t>
    </r>
  </si>
  <si>
    <t>ACUAN</t>
  </si>
  <si>
    <t>2017/2018</t>
  </si>
  <si>
    <t>Perkembangan DIPA</t>
  </si>
  <si>
    <t>SolidValue</t>
  </si>
  <si>
    <t>TransparentValue</t>
  </si>
  <si>
    <r>
      <rPr>
        <b/>
        <sz val="11"/>
        <color theme="1"/>
        <rFont val="Arial"/>
        <family val="2"/>
      </rPr>
      <t>Tabel 9.2</t>
    </r>
    <r>
      <rPr>
        <sz val="11"/>
        <color theme="1"/>
        <rFont val="Arial"/>
        <family val="2"/>
      </rPr>
      <t xml:space="preserve"> Perkembangan Penerimaan dan Penggunaan PNBP (Dalam Ribuan Rupiah)</t>
    </r>
  </si>
  <si>
    <t>PERKEMBANGAN PENERIMAAN DAN PENGGUNAAN PNBP (DALAM RIBUAN RUPIAH)</t>
  </si>
  <si>
    <t>Target PNBP</t>
  </si>
  <si>
    <t>Realisasi Penerimaan PNBP</t>
  </si>
  <si>
    <t>TARGET</t>
  </si>
  <si>
    <t>REALISASI</t>
  </si>
  <si>
    <t>Realisasi Penggunaan PNBP</t>
  </si>
  <si>
    <t>1.  PENERIMAAN PNBP</t>
  </si>
  <si>
    <t>1.1  Uang Pendidikan (UP)</t>
  </si>
  <si>
    <t>1.2  Uang Masuk (UM)</t>
  </si>
  <si>
    <t>1.3  Uang Lainnya (UL)</t>
  </si>
  <si>
    <t>JUMLAH PENERIMAAN PNBP</t>
  </si>
  <si>
    <t>% REALISASI PENERIMAAN PNBP</t>
  </si>
  <si>
    <t>% PERTUMBUHAN REALISASI PENERIMAAN</t>
  </si>
  <si>
    <t>% LAJU PERTUMBUHAN REALISASI PENERIMAAN</t>
  </si>
  <si>
    <t>2.  PENGGUNAAN PNBP</t>
  </si>
  <si>
    <t>2.1  Belanja Pegawai (BP)</t>
  </si>
  <si>
    <t>2.2  Belanja Barang (BB)</t>
  </si>
  <si>
    <t>2.3  Belanja Modal (BM)</t>
  </si>
  <si>
    <t>2.4  Belanja Sosial (BS)</t>
  </si>
  <si>
    <t>JUMLAH PENGGUNAAN PNBP</t>
  </si>
  <si>
    <t>% REALISASI PENGGUNAAN PNBP</t>
  </si>
  <si>
    <t>% PERTUMBUHAN REALISASI PENGGUNAAN</t>
  </si>
  <si>
    <t>% LAJU PERTUMBUHAN REALISASI PENGGUNAAN</t>
  </si>
  <si>
    <r>
      <rPr>
        <b/>
        <sz val="11"/>
        <color theme="1"/>
        <rFont val="Arial"/>
        <family val="2"/>
      </rPr>
      <t>Tabel 12.4.1</t>
    </r>
    <r>
      <rPr>
        <sz val="11"/>
        <color theme="1"/>
        <rFont val="Arial"/>
        <family val="2"/>
      </rPr>
      <t xml:space="preserve"> Jumlah Anggaran PDD/PSDKU Berdasarkan Sumber Dana (Dalam Ribuan Rupiah)</t>
    </r>
  </si>
  <si>
    <t>JENIS ANGGARAN</t>
  </si>
  <si>
    <t>JUMLAH ANGGARAN PDD/PSDKU BERDASARKAN SUMBER DANA
(DALAM RIBUAN RUPIAH)</t>
  </si>
  <si>
    <t>Perkembangan Anggaran</t>
  </si>
  <si>
    <t>DIPA Kelembagaan (DK)</t>
  </si>
  <si>
    <t>-  PDD Kota Singkawang</t>
  </si>
  <si>
    <t>-  PDD Poliwali Mandar</t>
  </si>
  <si>
    <t>-  PDD Kapuas Hulu</t>
  </si>
  <si>
    <t>-  PSDKU Sanggau</t>
  </si>
  <si>
    <t>Hibah Langsung Dalam Negeri (HLDN)</t>
  </si>
  <si>
    <t>JUMLAH ANGGARAN</t>
  </si>
  <si>
    <t>KOMPOSISI DK</t>
  </si>
  <si>
    <t>KOMPOSISI HLDN</t>
  </si>
  <si>
    <t>% PERTUMBUHAN TAHUNAN ANGGARAN</t>
  </si>
  <si>
    <t>% LAJU PERTUMBUHAN TAHUNAN ANGGARAN</t>
  </si>
  <si>
    <t>TAHUN 2018</t>
  </si>
  <si>
    <t>REALISASI BELANJA</t>
  </si>
  <si>
    <t>JUMLAH PAGU BELANJA</t>
  </si>
  <si>
    <t>-  PDD Sanggau</t>
  </si>
  <si>
    <t>PAGU DIPA BELMAWA</t>
  </si>
  <si>
    <t>JUMLAH ANGGARAN BELMAWA BERDASARKAN SUMBER DANA
(DALAM RIBUAN RUPIAH)</t>
  </si>
</sst>
</file>

<file path=xl/styles.xml><?xml version="1.0" encoding="utf-8"?>
<styleSheet xmlns="http://schemas.openxmlformats.org/spreadsheetml/2006/main">
  <numFmts count="11">
    <numFmt numFmtId="43" formatCode="_(* #,##0.00_);_(* \(#,##0.00\);_(* &quot;-&quot;??_);_(@_)"/>
    <numFmt numFmtId="164" formatCode="#&quot;.&quot;_-"/>
    <numFmt numFmtId="165" formatCode="_-* #,##0_-;\-* #,##0_-;_-* &quot;-&quot;_-;_-@_-"/>
    <numFmt numFmtId="166" formatCode="&quot;1.&quot;#&quot;.&quot;_-"/>
    <numFmt numFmtId="167" formatCode="0.00%_-"/>
    <numFmt numFmtId="168" formatCode="&quot;2.&quot;#&quot;.&quot;_-"/>
    <numFmt numFmtId="169" formatCode="@_-"/>
    <numFmt numFmtId="170" formatCode="#,##0_ ;\-#,##0\ "/>
    <numFmt numFmtId="171" formatCode="_-* #,##0.00_-;\-* #,##0.00_-;_-* &quot;-&quot;_-;_-@_-"/>
    <numFmt numFmtId="172" formatCode="#,##0.0"/>
    <numFmt numFmtId="173" formatCode="_(* #,##0_);_(* \(#,##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 Narrow"/>
      <family val="2"/>
    </font>
    <font>
      <sz val="9"/>
      <color theme="1"/>
      <name val="Arial Narrow"/>
      <family val="2"/>
    </font>
    <font>
      <sz val="11"/>
      <color theme="1"/>
      <name val="Calibri"/>
      <family val="2"/>
      <charset val="1"/>
      <scheme val="minor"/>
    </font>
    <font>
      <b/>
      <sz val="10"/>
      <name val="Arial Narrow"/>
      <family val="2"/>
    </font>
    <font>
      <b/>
      <i/>
      <sz val="10"/>
      <color theme="1"/>
      <name val="Arial Narrow"/>
      <family val="2"/>
    </font>
    <font>
      <b/>
      <sz val="11"/>
      <color rgb="FFFF0000"/>
      <name val="Arial Narrow"/>
      <family val="2"/>
    </font>
    <font>
      <sz val="10"/>
      <color rgb="FFFF0000"/>
      <name val="Arial Narrow"/>
      <family val="2"/>
    </font>
    <font>
      <b/>
      <sz val="10"/>
      <color rgb="FFFF0000"/>
      <name val="Arial Narrow"/>
      <family val="2"/>
    </font>
    <font>
      <b/>
      <i/>
      <sz val="10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theme="9" tint="0.39997558519241921"/>
        <bgColor indexed="64"/>
      </patternFill>
    </fill>
  </fills>
  <borders count="6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9" fontId="1" fillId="0" borderId="0" applyFont="0" applyFill="0" applyBorder="0" applyAlignment="0" applyProtection="0"/>
  </cellStyleXfs>
  <cellXfs count="264">
    <xf numFmtId="0" fontId="0" fillId="0" borderId="0" xfId="0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vertical="center"/>
    </xf>
    <xf numFmtId="0" fontId="3" fillId="3" borderId="7" xfId="0" applyNumberFormat="1" applyFont="1" applyFill="1" applyBorder="1" applyAlignment="1">
      <alignment vertical="center"/>
    </xf>
    <xf numFmtId="165" fontId="3" fillId="3" borderId="7" xfId="0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vertical="center"/>
    </xf>
    <xf numFmtId="166" fontId="4" fillId="4" borderId="9" xfId="0" applyNumberFormat="1" applyFont="1" applyFill="1" applyBorder="1" applyAlignment="1">
      <alignment horizontal="right" vertical="center"/>
    </xf>
    <xf numFmtId="0" fontId="4" fillId="4" borderId="10" xfId="0" applyNumberFormat="1" applyFont="1" applyFill="1" applyBorder="1" applyAlignment="1">
      <alignment vertical="center"/>
    </xf>
    <xf numFmtId="165" fontId="4" fillId="4" borderId="11" xfId="0" applyNumberFormat="1" applyFont="1" applyFill="1" applyBorder="1" applyAlignment="1">
      <alignment horizontal="center" vertical="center"/>
    </xf>
    <xf numFmtId="165" fontId="4" fillId="4" borderId="12" xfId="0" applyNumberFormat="1" applyFont="1" applyFill="1" applyBorder="1" applyAlignment="1">
      <alignment horizontal="center" vertical="center"/>
    </xf>
    <xf numFmtId="165" fontId="4" fillId="4" borderId="13" xfId="0" applyNumberFormat="1" applyFont="1" applyFill="1" applyBorder="1" applyAlignment="1">
      <alignment horizontal="center" vertical="center"/>
    </xf>
    <xf numFmtId="165" fontId="4" fillId="4" borderId="14" xfId="0" applyNumberFormat="1" applyFont="1" applyFill="1" applyBorder="1" applyAlignment="1">
      <alignment horizontal="center" vertical="center"/>
    </xf>
    <xf numFmtId="0" fontId="4" fillId="4" borderId="0" xfId="0" applyNumberFormat="1" applyFont="1" applyFill="1" applyBorder="1" applyAlignment="1">
      <alignment vertical="center"/>
    </xf>
    <xf numFmtId="166" fontId="4" fillId="4" borderId="15" xfId="0" applyNumberFormat="1" applyFont="1" applyFill="1" applyBorder="1" applyAlignment="1">
      <alignment horizontal="right" vertical="center"/>
    </xf>
    <xf numFmtId="0" fontId="4" fillId="4" borderId="16" xfId="0" applyNumberFormat="1" applyFont="1" applyFill="1" applyBorder="1" applyAlignment="1">
      <alignment vertical="center"/>
    </xf>
    <xf numFmtId="165" fontId="4" fillId="4" borderId="17" xfId="0" applyNumberFormat="1" applyFont="1" applyFill="1" applyBorder="1" applyAlignment="1">
      <alignment horizontal="center" vertical="center"/>
    </xf>
    <xf numFmtId="165" fontId="4" fillId="4" borderId="18" xfId="0" applyNumberFormat="1" applyFont="1" applyFill="1" applyBorder="1" applyAlignment="1">
      <alignment horizontal="center" vertical="center"/>
    </xf>
    <xf numFmtId="165" fontId="4" fillId="4" borderId="19" xfId="0" applyNumberFormat="1" applyFont="1" applyFill="1" applyBorder="1" applyAlignment="1">
      <alignment horizontal="center" vertical="center"/>
    </xf>
    <xf numFmtId="165" fontId="4" fillId="4" borderId="20" xfId="0" applyNumberFormat="1" applyFont="1" applyFill="1" applyBorder="1" applyAlignment="1">
      <alignment horizontal="center" vertical="center"/>
    </xf>
    <xf numFmtId="165" fontId="3" fillId="4" borderId="6" xfId="0" applyNumberFormat="1" applyFont="1" applyFill="1" applyBorder="1" applyAlignment="1">
      <alignment horizontal="center" vertical="center"/>
    </xf>
    <xf numFmtId="165" fontId="3" fillId="4" borderId="22" xfId="0" applyNumberFormat="1" applyFont="1" applyFill="1" applyBorder="1" applyAlignment="1">
      <alignment horizontal="center" vertical="center"/>
    </xf>
    <xf numFmtId="165" fontId="3" fillId="4" borderId="23" xfId="0" applyNumberFormat="1" applyFont="1" applyFill="1" applyBorder="1" applyAlignment="1">
      <alignment horizontal="center" vertical="center"/>
    </xf>
    <xf numFmtId="165" fontId="3" fillId="4" borderId="8" xfId="0" applyNumberFormat="1" applyFont="1" applyFill="1" applyBorder="1" applyAlignment="1">
      <alignment horizontal="center" vertical="center"/>
    </xf>
    <xf numFmtId="167" fontId="3" fillId="4" borderId="26" xfId="0" applyNumberFormat="1" applyFont="1" applyFill="1" applyBorder="1" applyAlignment="1">
      <alignment vertical="center"/>
    </xf>
    <xf numFmtId="167" fontId="3" fillId="4" borderId="27" xfId="0" applyNumberFormat="1" applyFont="1" applyFill="1" applyBorder="1" applyAlignment="1">
      <alignment vertical="center"/>
    </xf>
    <xf numFmtId="167" fontId="3" fillId="4" borderId="30" xfId="0" applyNumberFormat="1" applyFont="1" applyFill="1" applyBorder="1" applyAlignment="1">
      <alignment vertical="center"/>
    </xf>
    <xf numFmtId="167" fontId="3" fillId="4" borderId="31" xfId="0" applyNumberFormat="1" applyFont="1" applyFill="1" applyBorder="1" applyAlignment="1">
      <alignment vertical="center"/>
    </xf>
    <xf numFmtId="168" fontId="4" fillId="4" borderId="9" xfId="0" applyNumberFormat="1" applyFont="1" applyFill="1" applyBorder="1" applyAlignment="1">
      <alignment horizontal="right" vertical="center"/>
    </xf>
    <xf numFmtId="168" fontId="4" fillId="4" borderId="32" xfId="0" applyNumberFormat="1" applyFont="1" applyFill="1" applyBorder="1" applyAlignment="1">
      <alignment horizontal="right" vertical="center"/>
    </xf>
    <xf numFmtId="0" fontId="4" fillId="4" borderId="33" xfId="0" applyNumberFormat="1" applyFont="1" applyFill="1" applyBorder="1" applyAlignment="1">
      <alignment vertical="center"/>
    </xf>
    <xf numFmtId="165" fontId="4" fillId="4" borderId="34" xfId="0" applyNumberFormat="1" applyFont="1" applyFill="1" applyBorder="1" applyAlignment="1">
      <alignment horizontal="center" vertical="center"/>
    </xf>
    <xf numFmtId="165" fontId="4" fillId="4" borderId="35" xfId="0" applyNumberFormat="1" applyFont="1" applyFill="1" applyBorder="1" applyAlignment="1">
      <alignment horizontal="center" vertical="center"/>
    </xf>
    <xf numFmtId="165" fontId="4" fillId="4" borderId="36" xfId="0" applyNumberFormat="1" applyFont="1" applyFill="1" applyBorder="1" applyAlignment="1">
      <alignment horizontal="center" vertical="center"/>
    </xf>
    <xf numFmtId="165" fontId="4" fillId="4" borderId="37" xfId="0" applyNumberFormat="1" applyFont="1" applyFill="1" applyBorder="1" applyAlignment="1">
      <alignment horizontal="center" vertical="center"/>
    </xf>
    <xf numFmtId="168" fontId="4" fillId="4" borderId="15" xfId="0" applyNumberFormat="1" applyFont="1" applyFill="1" applyBorder="1" applyAlignment="1">
      <alignment horizontal="right" vertical="center"/>
    </xf>
    <xf numFmtId="167" fontId="3" fillId="4" borderId="11" xfId="0" applyNumberFormat="1" applyFont="1" applyFill="1" applyBorder="1" applyAlignment="1">
      <alignment vertical="center"/>
    </xf>
    <xf numFmtId="167" fontId="3" fillId="4" borderId="14" xfId="0" applyNumberFormat="1" applyFont="1" applyFill="1" applyBorder="1" applyAlignment="1">
      <alignment vertical="center"/>
    </xf>
    <xf numFmtId="167" fontId="3" fillId="4" borderId="37" xfId="0" applyNumberFormat="1" applyFont="1" applyFill="1" applyBorder="1" applyAlignment="1">
      <alignment vertical="center"/>
    </xf>
    <xf numFmtId="167" fontId="3" fillId="4" borderId="38" xfId="0" applyNumberFormat="1" applyFont="1" applyFill="1" applyBorder="1" applyAlignment="1">
      <alignment vertical="center"/>
    </xf>
    <xf numFmtId="167" fontId="3" fillId="4" borderId="20" xfId="0" applyNumberFormat="1" applyFont="1" applyFill="1" applyBorder="1" applyAlignment="1">
      <alignment vertical="center"/>
    </xf>
    <xf numFmtId="169" fontId="3" fillId="2" borderId="6" xfId="0" applyNumberFormat="1" applyFont="1" applyFill="1" applyBorder="1" applyAlignment="1">
      <alignment horizontal="center" vertical="center"/>
    </xf>
    <xf numFmtId="167" fontId="3" fillId="2" borderId="6" xfId="0" applyNumberFormat="1" applyFont="1" applyFill="1" applyBorder="1" applyAlignment="1">
      <alignment vertical="center"/>
    </xf>
    <xf numFmtId="167" fontId="3" fillId="2" borderId="8" xfId="0" applyNumberFormat="1" applyFont="1" applyFill="1" applyBorder="1" applyAlignment="1">
      <alignment vertical="center"/>
    </xf>
    <xf numFmtId="165" fontId="3" fillId="2" borderId="7" xfId="0" applyNumberFormat="1" applyFont="1" applyFill="1" applyBorder="1" applyAlignment="1">
      <alignment vertical="center"/>
    </xf>
    <xf numFmtId="165" fontId="3" fillId="2" borderId="21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7" fillId="5" borderId="6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70" fontId="8" fillId="0" borderId="41" xfId="0" applyNumberFormat="1" applyFont="1" applyBorder="1" applyAlignment="1">
      <alignment horizontal="center" vertical="center"/>
    </xf>
    <xf numFmtId="170" fontId="8" fillId="0" borderId="42" xfId="0" applyNumberFormat="1" applyFont="1" applyBorder="1" applyAlignment="1">
      <alignment horizontal="center" vertical="center"/>
    </xf>
    <xf numFmtId="170" fontId="8" fillId="0" borderId="43" xfId="0" applyNumberFormat="1" applyFont="1" applyBorder="1" applyAlignment="1">
      <alignment horizontal="center" vertical="center"/>
    </xf>
    <xf numFmtId="170" fontId="8" fillId="0" borderId="0" xfId="0" applyNumberFormat="1" applyFont="1" applyAlignment="1">
      <alignment vertical="center"/>
    </xf>
    <xf numFmtId="0" fontId="2" fillId="6" borderId="6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 shrinkToFit="1"/>
    </xf>
    <xf numFmtId="171" fontId="8" fillId="0" borderId="36" xfId="3" applyNumberFormat="1" applyFont="1" applyBorder="1" applyAlignment="1">
      <alignment horizontal="center" vertical="center"/>
    </xf>
    <xf numFmtId="171" fontId="8" fillId="0" borderId="44" xfId="3" applyNumberFormat="1" applyFont="1" applyBorder="1" applyAlignment="1">
      <alignment horizontal="center" vertical="center"/>
    </xf>
    <xf numFmtId="171" fontId="8" fillId="0" borderId="45" xfId="3" applyNumberFormat="1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 vertical="center" shrinkToFit="1"/>
    </xf>
    <xf numFmtId="171" fontId="8" fillId="0" borderId="46" xfId="3" applyNumberFormat="1" applyFont="1" applyBorder="1" applyAlignment="1">
      <alignment horizontal="center" vertical="center"/>
    </xf>
    <xf numFmtId="171" fontId="8" fillId="0" borderId="47" xfId="3" applyNumberFormat="1" applyFont="1" applyBorder="1" applyAlignment="1">
      <alignment horizontal="center" vertical="center"/>
    </xf>
    <xf numFmtId="171" fontId="8" fillId="0" borderId="48" xfId="3" applyNumberFormat="1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4" fontId="8" fillId="0" borderId="26" xfId="2" applyNumberFormat="1" applyFont="1" applyBorder="1" applyAlignment="1">
      <alignment horizontal="center" vertical="center"/>
    </xf>
    <xf numFmtId="4" fontId="8" fillId="0" borderId="26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vertical="center"/>
    </xf>
    <xf numFmtId="4" fontId="8" fillId="0" borderId="30" xfId="0" applyNumberFormat="1" applyFont="1" applyBorder="1" applyAlignment="1">
      <alignment horizontal="center" vertical="center"/>
    </xf>
    <xf numFmtId="172" fontId="8" fillId="0" borderId="0" xfId="3" applyNumberFormat="1" applyFont="1" applyAlignment="1">
      <alignment vertical="center"/>
    </xf>
    <xf numFmtId="0" fontId="4" fillId="0" borderId="49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 shrinkToFit="1"/>
    </xf>
    <xf numFmtId="170" fontId="8" fillId="0" borderId="50" xfId="0" applyNumberFormat="1" applyFont="1" applyBorder="1" applyAlignment="1">
      <alignment horizontal="center" vertical="center"/>
    </xf>
    <xf numFmtId="170" fontId="8" fillId="0" borderId="51" xfId="0" applyNumberFormat="1" applyFont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 shrinkToFit="1"/>
    </xf>
    <xf numFmtId="170" fontId="8" fillId="3" borderId="52" xfId="0" applyNumberFormat="1" applyFont="1" applyFill="1" applyBorder="1" applyAlignment="1">
      <alignment horizontal="center" vertical="center"/>
    </xf>
    <xf numFmtId="170" fontId="8" fillId="3" borderId="53" xfId="0" applyNumberFormat="1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55" xfId="0" applyFont="1" applyFill="1" applyBorder="1" applyAlignment="1">
      <alignment horizontal="center" vertical="center" shrinkToFit="1"/>
    </xf>
    <xf numFmtId="0" fontId="4" fillId="0" borderId="56" xfId="0" applyFont="1" applyFill="1" applyBorder="1" applyAlignment="1">
      <alignment horizontal="center" vertical="center" shrinkToFit="1"/>
    </xf>
    <xf numFmtId="170" fontId="8" fillId="0" borderId="57" xfId="0" applyNumberFormat="1" applyFont="1" applyFill="1" applyBorder="1" applyAlignment="1">
      <alignment horizontal="center" vertical="center"/>
    </xf>
    <xf numFmtId="170" fontId="8" fillId="0" borderId="58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left" vertical="center"/>
    </xf>
    <xf numFmtId="0" fontId="4" fillId="4" borderId="9" xfId="0" applyNumberFormat="1" applyFont="1" applyFill="1" applyBorder="1" applyAlignment="1">
      <alignment vertical="center"/>
    </xf>
    <xf numFmtId="165" fontId="4" fillId="4" borderId="59" xfId="0" applyNumberFormat="1" applyFont="1" applyFill="1" applyBorder="1" applyAlignment="1">
      <alignment horizontal="center" vertical="center"/>
    </xf>
    <xf numFmtId="165" fontId="4" fillId="4" borderId="60" xfId="0" applyNumberFormat="1" applyFont="1" applyFill="1" applyBorder="1" applyAlignment="1">
      <alignment horizontal="center" vertical="center"/>
    </xf>
    <xf numFmtId="164" fontId="4" fillId="4" borderId="0" xfId="0" applyNumberFormat="1" applyFont="1" applyFill="1" applyBorder="1" applyAlignment="1">
      <alignment horizontal="left" vertical="center"/>
    </xf>
    <xf numFmtId="165" fontId="4" fillId="4" borderId="54" xfId="0" applyNumberFormat="1" applyFont="1" applyFill="1" applyBorder="1" applyAlignment="1">
      <alignment horizontal="center" vertical="center"/>
    </xf>
    <xf numFmtId="165" fontId="4" fillId="4" borderId="53" xfId="0" applyNumberFormat="1" applyFont="1" applyFill="1" applyBorder="1" applyAlignment="1">
      <alignment horizontal="center" vertical="center"/>
    </xf>
    <xf numFmtId="165" fontId="4" fillId="4" borderId="55" xfId="0" applyNumberFormat="1" applyFont="1" applyFill="1" applyBorder="1" applyAlignment="1">
      <alignment horizontal="center" vertical="center"/>
    </xf>
    <xf numFmtId="0" fontId="4" fillId="4" borderId="15" xfId="0" applyNumberFormat="1" applyFont="1" applyFill="1" applyBorder="1" applyAlignment="1">
      <alignment vertical="center"/>
    </xf>
    <xf numFmtId="165" fontId="4" fillId="4" borderId="61" xfId="0" applyNumberFormat="1" applyFont="1" applyFill="1" applyBorder="1" applyAlignment="1">
      <alignment horizontal="center" vertical="center"/>
    </xf>
    <xf numFmtId="165" fontId="4" fillId="4" borderId="6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65" fontId="3" fillId="0" borderId="7" xfId="0" applyNumberFormat="1" applyFont="1" applyFill="1" applyBorder="1" applyAlignment="1">
      <alignment vertical="center"/>
    </xf>
    <xf numFmtId="165" fontId="3" fillId="0" borderId="23" xfId="0" applyNumberFormat="1" applyFont="1" applyFill="1" applyBorder="1" applyAlignment="1">
      <alignment horizontal="center" vertical="center"/>
    </xf>
    <xf numFmtId="165" fontId="3" fillId="0" borderId="40" xfId="0" applyNumberFormat="1" applyFont="1" applyFill="1" applyBorder="1" applyAlignment="1">
      <alignment horizontal="center" vertical="center"/>
    </xf>
    <xf numFmtId="165" fontId="3" fillId="0" borderId="63" xfId="0" applyNumberFormat="1" applyFont="1" applyFill="1" applyBorder="1" applyAlignment="1">
      <alignment horizontal="center" vertical="center"/>
    </xf>
    <xf numFmtId="165" fontId="3" fillId="0" borderId="21" xfId="0" applyNumberFormat="1" applyFont="1" applyFill="1" applyBorder="1" applyAlignment="1">
      <alignment vertical="center"/>
    </xf>
    <xf numFmtId="0" fontId="4" fillId="4" borderId="25" xfId="0" applyNumberFormat="1" applyFont="1" applyFill="1" applyBorder="1" applyAlignment="1">
      <alignment vertical="center"/>
    </xf>
    <xf numFmtId="165" fontId="4" fillId="4" borderId="45" xfId="0" applyNumberFormat="1" applyFont="1" applyFill="1" applyBorder="1" applyAlignment="1">
      <alignment horizontal="center" vertical="center"/>
    </xf>
    <xf numFmtId="165" fontId="4" fillId="4" borderId="64" xfId="0" applyNumberFormat="1" applyFont="1" applyFill="1" applyBorder="1" applyAlignment="1">
      <alignment horizontal="center" vertical="center"/>
    </xf>
    <xf numFmtId="0" fontId="4" fillId="4" borderId="29" xfId="0" applyNumberFormat="1" applyFont="1" applyFill="1" applyBorder="1" applyAlignment="1">
      <alignment vertical="center"/>
    </xf>
    <xf numFmtId="0" fontId="4" fillId="0" borderId="6" xfId="0" applyFont="1" applyBorder="1" applyAlignment="1">
      <alignment horizontal="center" vertical="center" shrinkToFit="1"/>
    </xf>
    <xf numFmtId="170" fontId="8" fillId="0" borderId="39" xfId="0" applyNumberFormat="1" applyFont="1" applyBorder="1" applyAlignment="1">
      <alignment horizontal="center" vertical="center"/>
    </xf>
    <xf numFmtId="170" fontId="8" fillId="0" borderId="40" xfId="0" applyNumberFormat="1" applyFont="1" applyBorder="1" applyAlignment="1">
      <alignment horizontal="center" vertical="center"/>
    </xf>
    <xf numFmtId="170" fontId="8" fillId="0" borderId="0" xfId="0" applyNumberFormat="1" applyFont="1" applyBorder="1" applyAlignment="1">
      <alignment horizontal="center" vertical="center"/>
    </xf>
    <xf numFmtId="166" fontId="11" fillId="4" borderId="0" xfId="0" applyNumberFormat="1" applyFont="1" applyFill="1" applyBorder="1" applyAlignment="1">
      <alignment horizontal="right" vertical="center"/>
    </xf>
    <xf numFmtId="0" fontId="11" fillId="4" borderId="3" xfId="0" applyNumberFormat="1" applyFont="1" applyFill="1" applyBorder="1" applyAlignment="1">
      <alignment vertical="center"/>
    </xf>
    <xf numFmtId="165" fontId="11" fillId="4" borderId="38" xfId="0" applyNumberFormat="1" applyFont="1" applyFill="1" applyBorder="1" applyAlignment="1">
      <alignment horizontal="center" vertical="center"/>
    </xf>
    <xf numFmtId="165" fontId="11" fillId="4" borderId="54" xfId="0" applyNumberFormat="1" applyFont="1" applyFill="1" applyBorder="1" applyAlignment="1">
      <alignment horizontal="center" vertical="center"/>
    </xf>
    <xf numFmtId="165" fontId="11" fillId="4" borderId="66" xfId="0" applyNumberFormat="1" applyFont="1" applyFill="1" applyBorder="1" applyAlignment="1">
      <alignment horizontal="center" vertical="center"/>
    </xf>
    <xf numFmtId="166" fontId="4" fillId="4" borderId="1" xfId="0" applyNumberFormat="1" applyFont="1" applyFill="1" applyBorder="1" applyAlignment="1">
      <alignment horizontal="right" vertical="center"/>
    </xf>
    <xf numFmtId="0" fontId="4" fillId="4" borderId="25" xfId="0" quotePrefix="1" applyNumberFormat="1" applyFont="1" applyFill="1" applyBorder="1" applyAlignment="1">
      <alignment vertical="center"/>
    </xf>
    <xf numFmtId="165" fontId="4" fillId="4" borderId="26" xfId="0" applyNumberFormat="1" applyFont="1" applyFill="1" applyBorder="1" applyAlignment="1">
      <alignment horizontal="center" vertical="center"/>
    </xf>
    <xf numFmtId="165" fontId="4" fillId="4" borderId="41" xfId="0" applyNumberFormat="1" applyFont="1" applyFill="1" applyBorder="1" applyAlignment="1">
      <alignment horizontal="center" vertical="center"/>
    </xf>
    <xf numFmtId="165" fontId="4" fillId="4" borderId="27" xfId="0" applyNumberFormat="1" applyFont="1" applyFill="1" applyBorder="1" applyAlignment="1">
      <alignment horizontal="center" vertical="center"/>
    </xf>
    <xf numFmtId="166" fontId="4" fillId="4" borderId="0" xfId="0" applyNumberFormat="1" applyFont="1" applyFill="1" applyBorder="1" applyAlignment="1">
      <alignment horizontal="right" vertical="center"/>
    </xf>
    <xf numFmtId="0" fontId="4" fillId="4" borderId="33" xfId="0" quotePrefix="1" applyNumberFormat="1" applyFont="1" applyFill="1" applyBorder="1" applyAlignment="1">
      <alignment vertical="center"/>
    </xf>
    <xf numFmtId="166" fontId="4" fillId="4" borderId="5" xfId="0" applyNumberFormat="1" applyFont="1" applyFill="1" applyBorder="1" applyAlignment="1">
      <alignment horizontal="right" vertical="center"/>
    </xf>
    <xf numFmtId="0" fontId="4" fillId="4" borderId="29" xfId="0" quotePrefix="1" applyNumberFormat="1" applyFont="1" applyFill="1" applyBorder="1" applyAlignment="1">
      <alignment vertical="center"/>
    </xf>
    <xf numFmtId="165" fontId="4" fillId="4" borderId="30" xfId="0" applyNumberFormat="1" applyFont="1" applyFill="1" applyBorder="1" applyAlignment="1">
      <alignment horizontal="center" vertical="center"/>
    </xf>
    <xf numFmtId="165" fontId="4" fillId="4" borderId="46" xfId="0" applyNumberFormat="1" applyFont="1" applyFill="1" applyBorder="1" applyAlignment="1">
      <alignment horizontal="center" vertical="center"/>
    </xf>
    <xf numFmtId="165" fontId="4" fillId="4" borderId="31" xfId="0" applyNumberFormat="1" applyFont="1" applyFill="1" applyBorder="1" applyAlignment="1">
      <alignment horizontal="center" vertical="center"/>
    </xf>
    <xf numFmtId="166" fontId="11" fillId="4" borderId="7" xfId="0" applyNumberFormat="1" applyFont="1" applyFill="1" applyBorder="1" applyAlignment="1">
      <alignment horizontal="right" vertical="center"/>
    </xf>
    <xf numFmtId="0" fontId="11" fillId="4" borderId="21" xfId="0" applyNumberFormat="1" applyFont="1" applyFill="1" applyBorder="1" applyAlignment="1">
      <alignment vertical="center"/>
    </xf>
    <xf numFmtId="165" fontId="11" fillId="4" borderId="6" xfId="0" applyNumberFormat="1" applyFont="1" applyFill="1" applyBorder="1" applyAlignment="1">
      <alignment horizontal="center" vertical="center"/>
    </xf>
    <xf numFmtId="165" fontId="11" fillId="4" borderId="23" xfId="0" applyNumberFormat="1" applyFont="1" applyFill="1" applyBorder="1" applyAlignment="1">
      <alignment horizontal="center" vertical="center"/>
    </xf>
    <xf numFmtId="165" fontId="11" fillId="4" borderId="8" xfId="0" applyNumberFormat="1" applyFont="1" applyFill="1" applyBorder="1" applyAlignment="1">
      <alignment horizontal="center" vertical="center"/>
    </xf>
    <xf numFmtId="165" fontId="3" fillId="2" borderId="8" xfId="0" applyNumberFormat="1" applyFont="1" applyFill="1" applyBorder="1" applyAlignment="1">
      <alignment horizontal="center" vertical="center"/>
    </xf>
    <xf numFmtId="167" fontId="3" fillId="2" borderId="6" xfId="0" applyNumberFormat="1" applyFont="1" applyFill="1" applyBorder="1" applyAlignment="1">
      <alignment horizontal="center" vertical="center"/>
    </xf>
    <xf numFmtId="167" fontId="3" fillId="2" borderId="8" xfId="0" applyNumberFormat="1" applyFont="1" applyFill="1" applyBorder="1" applyAlignment="1">
      <alignment horizontal="center" vertical="center"/>
    </xf>
    <xf numFmtId="165" fontId="4" fillId="4" borderId="0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38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167" fontId="10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3" fillId="7" borderId="21" xfId="0" applyNumberFormat="1" applyFont="1" applyFill="1" applyBorder="1" applyAlignment="1">
      <alignment vertical="center"/>
    </xf>
    <xf numFmtId="0" fontId="3" fillId="7" borderId="6" xfId="0" applyNumberFormat="1" applyFont="1" applyFill="1" applyBorder="1" applyAlignment="1">
      <alignment vertical="center"/>
    </xf>
    <xf numFmtId="165" fontId="3" fillId="7" borderId="6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73" fontId="3" fillId="7" borderId="6" xfId="1" applyNumberFormat="1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vertical="center"/>
    </xf>
    <xf numFmtId="0" fontId="4" fillId="7" borderId="0" xfId="0" applyNumberFormat="1" applyFont="1" applyFill="1" applyBorder="1" applyAlignment="1">
      <alignment vertical="center"/>
    </xf>
    <xf numFmtId="168" fontId="4" fillId="7" borderId="9" xfId="0" applyNumberFormat="1" applyFont="1" applyFill="1" applyBorder="1" applyAlignment="1">
      <alignment horizontal="right" vertical="center"/>
    </xf>
    <xf numFmtId="0" fontId="4" fillId="7" borderId="10" xfId="0" applyNumberFormat="1" applyFont="1" applyFill="1" applyBorder="1" applyAlignment="1">
      <alignment vertical="center"/>
    </xf>
    <xf numFmtId="168" fontId="4" fillId="7" borderId="32" xfId="0" applyNumberFormat="1" applyFont="1" applyFill="1" applyBorder="1" applyAlignment="1">
      <alignment horizontal="right" vertical="center"/>
    </xf>
    <xf numFmtId="0" fontId="4" fillId="7" borderId="33" xfId="0" applyNumberFormat="1" applyFont="1" applyFill="1" applyBorder="1" applyAlignment="1">
      <alignment vertical="center"/>
    </xf>
    <xf numFmtId="165" fontId="4" fillId="7" borderId="11" xfId="0" applyNumberFormat="1" applyFont="1" applyFill="1" applyBorder="1" applyAlignment="1">
      <alignment horizontal="center" vertical="center"/>
    </xf>
    <xf numFmtId="165" fontId="4" fillId="7" borderId="12" xfId="0" applyNumberFormat="1" applyFont="1" applyFill="1" applyBorder="1" applyAlignment="1">
      <alignment horizontal="center" vertical="center"/>
    </xf>
    <xf numFmtId="165" fontId="4" fillId="7" borderId="13" xfId="0" applyNumberFormat="1" applyFont="1" applyFill="1" applyBorder="1" applyAlignment="1">
      <alignment horizontal="center" vertical="center"/>
    </xf>
    <xf numFmtId="165" fontId="4" fillId="7" borderId="14" xfId="0" applyNumberFormat="1" applyFont="1" applyFill="1" applyBorder="1" applyAlignment="1">
      <alignment horizontal="center" vertical="center"/>
    </xf>
    <xf numFmtId="165" fontId="4" fillId="7" borderId="34" xfId="0" applyNumberFormat="1" applyFont="1" applyFill="1" applyBorder="1" applyAlignment="1">
      <alignment horizontal="center" vertical="center"/>
    </xf>
    <xf numFmtId="165" fontId="4" fillId="7" borderId="35" xfId="0" applyNumberFormat="1" applyFont="1" applyFill="1" applyBorder="1" applyAlignment="1">
      <alignment horizontal="center" vertical="center"/>
    </xf>
    <xf numFmtId="165" fontId="4" fillId="7" borderId="36" xfId="0" applyNumberFormat="1" applyFont="1" applyFill="1" applyBorder="1" applyAlignment="1">
      <alignment horizontal="center" vertical="center"/>
    </xf>
    <xf numFmtId="165" fontId="4" fillId="7" borderId="37" xfId="0" applyNumberFormat="1" applyFont="1" applyFill="1" applyBorder="1" applyAlignment="1">
      <alignment horizontal="center" vertical="center"/>
    </xf>
    <xf numFmtId="0" fontId="4" fillId="7" borderId="5" xfId="0" applyNumberFormat="1" applyFont="1" applyFill="1" applyBorder="1" applyAlignment="1">
      <alignment vertical="center"/>
    </xf>
    <xf numFmtId="168" fontId="4" fillId="7" borderId="28" xfId="0" applyNumberFormat="1" applyFont="1" applyFill="1" applyBorder="1" applyAlignment="1">
      <alignment horizontal="right" vertical="center"/>
    </xf>
    <xf numFmtId="0" fontId="4" fillId="7" borderId="29" xfId="0" applyNumberFormat="1" applyFont="1" applyFill="1" applyBorder="1" applyAlignment="1">
      <alignment vertical="center"/>
    </xf>
    <xf numFmtId="165" fontId="4" fillId="7" borderId="30" xfId="0" applyNumberFormat="1" applyFont="1" applyFill="1" applyBorder="1" applyAlignment="1">
      <alignment horizontal="center" vertical="center"/>
    </xf>
    <xf numFmtId="165" fontId="4" fillId="7" borderId="67" xfId="0" applyNumberFormat="1" applyFont="1" applyFill="1" applyBorder="1" applyAlignment="1">
      <alignment horizontal="center" vertical="center"/>
    </xf>
    <xf numFmtId="165" fontId="4" fillId="7" borderId="46" xfId="0" applyNumberFormat="1" applyFont="1" applyFill="1" applyBorder="1" applyAlignment="1">
      <alignment horizontal="center" vertical="center"/>
    </xf>
    <xf numFmtId="165" fontId="4" fillId="7" borderId="31" xfId="0" applyNumberFormat="1" applyFont="1" applyFill="1" applyBorder="1" applyAlignment="1">
      <alignment horizontal="center" vertical="center"/>
    </xf>
    <xf numFmtId="165" fontId="13" fillId="4" borderId="14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4" fillId="4" borderId="8" xfId="0" applyNumberFormat="1" applyFont="1" applyFill="1" applyBorder="1" applyAlignment="1">
      <alignment horizontal="center" vertical="center"/>
    </xf>
    <xf numFmtId="167" fontId="14" fillId="4" borderId="27" xfId="0" applyNumberFormat="1" applyFont="1" applyFill="1" applyBorder="1" applyAlignment="1">
      <alignment vertical="center"/>
    </xf>
    <xf numFmtId="167" fontId="14" fillId="4" borderId="31" xfId="0" applyNumberFormat="1" applyFont="1" applyFill="1" applyBorder="1" applyAlignment="1">
      <alignment vertical="center"/>
    </xf>
    <xf numFmtId="165" fontId="14" fillId="3" borderId="7" xfId="0" applyNumberFormat="1" applyFont="1" applyFill="1" applyBorder="1" applyAlignment="1">
      <alignment horizontal="center" vertical="center"/>
    </xf>
    <xf numFmtId="165" fontId="13" fillId="4" borderId="37" xfId="0" applyNumberFormat="1" applyFont="1" applyFill="1" applyBorder="1" applyAlignment="1">
      <alignment horizontal="center" vertical="center"/>
    </xf>
    <xf numFmtId="173" fontId="14" fillId="7" borderId="8" xfId="1" applyNumberFormat="1" applyFont="1" applyFill="1" applyBorder="1" applyAlignment="1">
      <alignment horizontal="center" vertical="center"/>
    </xf>
    <xf numFmtId="165" fontId="13" fillId="7" borderId="14" xfId="0" applyNumberFormat="1" applyFont="1" applyFill="1" applyBorder="1" applyAlignment="1">
      <alignment horizontal="center" vertical="center"/>
    </xf>
    <xf numFmtId="165" fontId="13" fillId="7" borderId="37" xfId="0" applyNumberFormat="1" applyFont="1" applyFill="1" applyBorder="1" applyAlignment="1">
      <alignment horizontal="center" vertical="center"/>
    </xf>
    <xf numFmtId="165" fontId="13" fillId="7" borderId="31" xfId="0" applyNumberFormat="1" applyFont="1" applyFill="1" applyBorder="1" applyAlignment="1">
      <alignment horizontal="center" vertical="center"/>
    </xf>
    <xf numFmtId="167" fontId="14" fillId="4" borderId="14" xfId="0" applyNumberFormat="1" applyFont="1" applyFill="1" applyBorder="1" applyAlignment="1">
      <alignment vertical="center"/>
    </xf>
    <xf numFmtId="167" fontId="14" fillId="4" borderId="37" xfId="0" applyNumberFormat="1" applyFont="1" applyFill="1" applyBorder="1" applyAlignment="1">
      <alignment vertical="center"/>
    </xf>
    <xf numFmtId="167" fontId="14" fillId="4" borderId="20" xfId="0" applyNumberFormat="1" applyFont="1" applyFill="1" applyBorder="1" applyAlignment="1">
      <alignment vertical="center"/>
    </xf>
    <xf numFmtId="167" fontId="14" fillId="2" borderId="8" xfId="0" applyNumberFormat="1" applyFont="1" applyFill="1" applyBorder="1" applyAlignment="1">
      <alignment vertical="center"/>
    </xf>
    <xf numFmtId="43" fontId="5" fillId="0" borderId="0" xfId="1" applyFont="1" applyAlignment="1">
      <alignment vertical="center"/>
    </xf>
    <xf numFmtId="165" fontId="15" fillId="4" borderId="66" xfId="0" applyNumberFormat="1" applyFont="1" applyFill="1" applyBorder="1" applyAlignment="1">
      <alignment horizontal="center" vertical="center"/>
    </xf>
    <xf numFmtId="165" fontId="13" fillId="4" borderId="27" xfId="0" applyNumberFormat="1" applyFont="1" applyFill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5" fillId="4" borderId="8" xfId="0" applyNumberFormat="1" applyFont="1" applyFill="1" applyBorder="1" applyAlignment="1">
      <alignment horizontal="center" vertical="center"/>
    </xf>
    <xf numFmtId="165" fontId="14" fillId="2" borderId="8" xfId="0" applyNumberFormat="1" applyFont="1" applyFill="1" applyBorder="1" applyAlignment="1">
      <alignment horizontal="center" vertical="center"/>
    </xf>
    <xf numFmtId="167" fontId="14" fillId="2" borderId="8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64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62" xfId="0" applyNumberFormat="1" applyFont="1" applyFill="1" applyBorder="1" applyAlignment="1">
      <alignment horizontal="center" vertical="center"/>
    </xf>
    <xf numFmtId="165" fontId="14" fillId="0" borderId="23" xfId="0" applyNumberFormat="1" applyFont="1" applyFill="1" applyBorder="1" applyAlignment="1">
      <alignment horizontal="center" vertical="center"/>
    </xf>
    <xf numFmtId="165" fontId="14" fillId="0" borderId="63" xfId="0" applyNumberFormat="1" applyFont="1" applyFill="1" applyBorder="1" applyAlignment="1">
      <alignment horizontal="center" vertical="center"/>
    </xf>
    <xf numFmtId="165" fontId="13" fillId="4" borderId="13" xfId="0" applyNumberFormat="1" applyFont="1" applyFill="1" applyBorder="1" applyAlignment="1">
      <alignment horizontal="center" vertical="center"/>
    </xf>
    <xf numFmtId="165" fontId="13" fillId="4" borderId="60" xfId="0" applyNumberFormat="1" applyFont="1" applyFill="1" applyBorder="1" applyAlignment="1">
      <alignment horizontal="center" vertical="center"/>
    </xf>
    <xf numFmtId="165" fontId="13" fillId="4" borderId="54" xfId="0" applyNumberFormat="1" applyFont="1" applyFill="1" applyBorder="1" applyAlignment="1">
      <alignment horizontal="center" vertical="center"/>
    </xf>
    <xf numFmtId="165" fontId="13" fillId="4" borderId="55" xfId="0" applyNumberFormat="1" applyFont="1" applyFill="1" applyBorder="1" applyAlignment="1">
      <alignment horizontal="center" vertical="center"/>
    </xf>
    <xf numFmtId="0" fontId="3" fillId="7" borderId="7" xfId="0" applyNumberFormat="1" applyFont="1" applyFill="1" applyBorder="1" applyAlignment="1">
      <alignment vertical="center"/>
    </xf>
    <xf numFmtId="165" fontId="14" fillId="7" borderId="8" xfId="0" applyNumberFormat="1" applyFont="1" applyFill="1" applyBorder="1" applyAlignment="1">
      <alignment horizontal="center" vertical="center"/>
    </xf>
    <xf numFmtId="166" fontId="11" fillId="7" borderId="7" xfId="0" applyNumberFormat="1" applyFont="1" applyFill="1" applyBorder="1" applyAlignment="1">
      <alignment horizontal="right" vertical="center"/>
    </xf>
    <xf numFmtId="0" fontId="11" fillId="7" borderId="21" xfId="0" applyNumberFormat="1" applyFont="1" applyFill="1" applyBorder="1" applyAlignment="1">
      <alignment vertical="center"/>
    </xf>
    <xf numFmtId="165" fontId="11" fillId="7" borderId="6" xfId="0" applyNumberFormat="1" applyFont="1" applyFill="1" applyBorder="1" applyAlignment="1">
      <alignment horizontal="center" vertical="center"/>
    </xf>
    <xf numFmtId="165" fontId="11" fillId="7" borderId="23" xfId="0" applyNumberFormat="1" applyFont="1" applyFill="1" applyBorder="1" applyAlignment="1">
      <alignment horizontal="center" vertical="center"/>
    </xf>
    <xf numFmtId="165" fontId="11" fillId="7" borderId="8" xfId="0" applyNumberFormat="1" applyFont="1" applyFill="1" applyBorder="1" applyAlignment="1">
      <alignment horizontal="center" vertical="center"/>
    </xf>
    <xf numFmtId="165" fontId="15" fillId="7" borderId="8" xfId="0" applyNumberFormat="1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5" xfId="0" applyFont="1" applyFill="1" applyBorder="1" applyAlignment="1">
      <alignment horizontal="center" vertical="center" wrapText="1"/>
    </xf>
    <xf numFmtId="10" fontId="3" fillId="2" borderId="8" xfId="0" applyNumberFormat="1" applyFont="1" applyFill="1" applyBorder="1" applyAlignment="1">
      <alignment horizontal="center" vertical="center"/>
    </xf>
    <xf numFmtId="10" fontId="3" fillId="2" borderId="7" xfId="0" applyNumberFormat="1" applyFont="1" applyFill="1" applyBorder="1" applyAlignment="1">
      <alignment horizontal="center" vertical="center"/>
    </xf>
    <xf numFmtId="0" fontId="3" fillId="4" borderId="9" xfId="0" applyNumberFormat="1" applyFont="1" applyFill="1" applyBorder="1" applyAlignment="1">
      <alignment vertical="center"/>
    </xf>
    <xf numFmtId="0" fontId="3" fillId="4" borderId="10" xfId="0" applyNumberFormat="1" applyFont="1" applyFill="1" applyBorder="1" applyAlignment="1">
      <alignment vertical="center"/>
    </xf>
    <xf numFmtId="0" fontId="3" fillId="4" borderId="32" xfId="0" applyNumberFormat="1" applyFont="1" applyFill="1" applyBorder="1" applyAlignment="1">
      <alignment vertical="center"/>
    </xf>
    <xf numFmtId="0" fontId="3" fillId="4" borderId="33" xfId="0" applyNumberFormat="1" applyFont="1" applyFill="1" applyBorder="1" applyAlignment="1">
      <alignment vertical="center"/>
    </xf>
    <xf numFmtId="0" fontId="3" fillId="4" borderId="15" xfId="0" applyNumberFormat="1" applyFont="1" applyFill="1" applyBorder="1" applyAlignment="1">
      <alignment vertical="center"/>
    </xf>
    <xf numFmtId="0" fontId="3" fillId="4" borderId="16" xfId="0" applyNumberFormat="1" applyFont="1" applyFill="1" applyBorder="1" applyAlignment="1">
      <alignment vertical="center"/>
    </xf>
    <xf numFmtId="165" fontId="3" fillId="2" borderId="7" xfId="0" applyNumberFormat="1" applyFont="1" applyFill="1" applyBorder="1" applyAlignment="1">
      <alignment vertical="center"/>
    </xf>
    <xf numFmtId="165" fontId="3" fillId="2" borderId="2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4" borderId="7" xfId="0" applyNumberFormat="1" applyFont="1" applyFill="1" applyBorder="1" applyAlignment="1">
      <alignment vertical="center"/>
    </xf>
    <xf numFmtId="0" fontId="3" fillId="4" borderId="21" xfId="0" applyNumberFormat="1" applyFont="1" applyFill="1" applyBorder="1" applyAlignment="1">
      <alignment vertical="center"/>
    </xf>
    <xf numFmtId="0" fontId="3" fillId="4" borderId="24" xfId="0" applyNumberFormat="1" applyFont="1" applyFill="1" applyBorder="1" applyAlignment="1">
      <alignment vertical="center"/>
    </xf>
    <xf numFmtId="0" fontId="3" fillId="4" borderId="25" xfId="0" applyNumberFormat="1" applyFont="1" applyFill="1" applyBorder="1" applyAlignment="1">
      <alignment vertical="center"/>
    </xf>
    <xf numFmtId="0" fontId="3" fillId="4" borderId="28" xfId="0" applyNumberFormat="1" applyFont="1" applyFill="1" applyBorder="1" applyAlignment="1">
      <alignment vertical="center"/>
    </xf>
    <xf numFmtId="0" fontId="3" fillId="4" borderId="29" xfId="0" applyNumberFormat="1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vertical="center"/>
    </xf>
    <xf numFmtId="0" fontId="3" fillId="2" borderId="21" xfId="0" applyNumberFormat="1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167" fontId="3" fillId="0" borderId="8" xfId="0" applyNumberFormat="1" applyFont="1" applyFill="1" applyBorder="1" applyAlignment="1">
      <alignment horizontal="center" vertical="center"/>
    </xf>
    <xf numFmtId="167" fontId="3" fillId="0" borderId="7" xfId="0" applyNumberFormat="1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167" fontId="14" fillId="0" borderId="8" xfId="0" applyNumberFormat="1" applyFont="1" applyFill="1" applyBorder="1" applyAlignment="1">
      <alignment horizontal="center" vertical="center"/>
    </xf>
    <xf numFmtId="167" fontId="14" fillId="0" borderId="7" xfId="0" applyNumberFormat="1" applyFont="1" applyFill="1" applyBorder="1" applyAlignment="1">
      <alignment horizontal="center" vertical="center"/>
    </xf>
    <xf numFmtId="167" fontId="14" fillId="0" borderId="6" xfId="0" applyNumberFormat="1" applyFont="1" applyFill="1" applyBorder="1" applyAlignment="1">
      <alignment horizontal="center" vertical="center"/>
    </xf>
    <xf numFmtId="167" fontId="10" fillId="0" borderId="6" xfId="0" applyNumberFormat="1" applyFont="1" applyFill="1" applyBorder="1" applyAlignment="1">
      <alignment horizontal="center" vertical="center"/>
    </xf>
    <xf numFmtId="167" fontId="10" fillId="0" borderId="8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167" fontId="3" fillId="0" borderId="21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7">
    <cellStyle name="Comma" xfId="1" builtinId="3"/>
    <cellStyle name="Comma [0] 2" xfId="3"/>
    <cellStyle name="Comma [0] 3" xfId="4"/>
    <cellStyle name="Normal" xfId="0" builtinId="0"/>
    <cellStyle name="Normal 2" xfId="5"/>
    <cellStyle name="Percent" xfId="2" builtinId="5"/>
    <cellStyle name="Percent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id-ID"/>
              <a:t>Perkembangan</a:t>
            </a:r>
            <a:endParaRPr lang="en-US"/>
          </a:p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400"/>
              <a:t>Penerimaan dan Penggunaan PNBP</a:t>
            </a:r>
            <a:endParaRPr lang="id-ID" sz="1400"/>
          </a:p>
        </c:rich>
      </c:tx>
      <c:layout>
        <c:manualLayout>
          <c:xMode val="edge"/>
          <c:yMode val="edge"/>
          <c:x val="0.14958043509142735"/>
          <c:y val="1.6198331599440378E-3"/>
        </c:manualLayout>
      </c:layout>
      <c:spPr>
        <a:noFill/>
        <a:ln>
          <a:noFill/>
        </a:ln>
        <a:effectLst/>
      </c:spPr>
    </c:title>
    <c:plotArea>
      <c:layout>
        <c:manualLayout>
          <c:layoutTarget val="inner"/>
          <c:xMode val="edge"/>
          <c:yMode val="edge"/>
          <c:x val="0.12356148694930849"/>
          <c:y val="0.18548033546755474"/>
          <c:w val="0.8511413495974206"/>
          <c:h val="0.6567813611565666"/>
        </c:manualLayout>
      </c:layout>
      <c:barChart>
        <c:barDir val="col"/>
        <c:grouping val="clustered"/>
        <c:ser>
          <c:idx val="0"/>
          <c:order val="0"/>
          <c:tx>
            <c:strRef>
              <c:f>'9.2 PNBP'!$Y$2</c:f>
              <c:strCache>
                <c:ptCount val="1"/>
                <c:pt idx="0">
                  <c:v>Target PNBP</c:v>
                </c:pt>
              </c:strCache>
            </c:strRef>
          </c:tx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cat>
            <c:strRef>
              <c:f>'9.2 PNBP'!$Z$1:$AD$1</c:f>
              <c:strCache>
                <c:ptCount val="5"/>
                <c:pt idx="0">
                  <c:v>TAHUN 2013</c:v>
                </c:pt>
                <c:pt idx="1">
                  <c:v>TAHUN 2014</c:v>
                </c:pt>
                <c:pt idx="2">
                  <c:v>TAHUN 2015</c:v>
                </c:pt>
                <c:pt idx="3">
                  <c:v>TAHUN 2016</c:v>
                </c:pt>
                <c:pt idx="4">
                  <c:v>TAHUN 2017</c:v>
                </c:pt>
              </c:strCache>
            </c:strRef>
          </c:cat>
          <c:val>
            <c:numRef>
              <c:f>'9.2 PNBP'!$Z$2:$AD$2</c:f>
              <c:numCache>
                <c:formatCode>#,##0_ ;\-#,##0\ </c:formatCode>
                <c:ptCount val="5"/>
                <c:pt idx="0">
                  <c:v>8781993</c:v>
                </c:pt>
                <c:pt idx="1">
                  <c:v>13168290</c:v>
                </c:pt>
                <c:pt idx="2">
                  <c:v>14054241</c:v>
                </c:pt>
                <c:pt idx="3">
                  <c:v>14111460</c:v>
                </c:pt>
                <c:pt idx="4">
                  <c:v>17095986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3FA-4738-BA06-F1C321DF62C9}"/>
            </c:ext>
          </c:extLst>
        </c:ser>
        <c:ser>
          <c:idx val="1"/>
          <c:order val="1"/>
          <c:tx>
            <c:strRef>
              <c:f>'9.2 PNBP'!$Y$3</c:f>
              <c:strCache>
                <c:ptCount val="1"/>
                <c:pt idx="0">
                  <c:v>Realisasi Penerimaan PNBP</c:v>
                </c:pt>
              </c:strCache>
            </c:strRef>
          </c:tx>
          <c:spPr>
            <a:gradFill flip="none" rotWithShape="1">
              <a:gsLst>
                <a:gs pos="0">
                  <a:schemeClr val="accent3"/>
                </a:gs>
                <a:gs pos="75000">
                  <a:schemeClr val="accent3">
                    <a:lumMod val="60000"/>
                    <a:lumOff val="40000"/>
                  </a:schemeClr>
                </a:gs>
                <a:gs pos="51000">
                  <a:schemeClr val="accent3">
                    <a:alpha val="75000"/>
                  </a:schemeClr>
                </a:gs>
                <a:gs pos="100000">
                  <a:schemeClr val="accent3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cat>
            <c:strRef>
              <c:f>'9.2 PNBP'!$Z$1:$AD$1</c:f>
              <c:strCache>
                <c:ptCount val="5"/>
                <c:pt idx="0">
                  <c:v>TAHUN 2013</c:v>
                </c:pt>
                <c:pt idx="1">
                  <c:v>TAHUN 2014</c:v>
                </c:pt>
                <c:pt idx="2">
                  <c:v>TAHUN 2015</c:v>
                </c:pt>
                <c:pt idx="3">
                  <c:v>TAHUN 2016</c:v>
                </c:pt>
                <c:pt idx="4">
                  <c:v>TAHUN 2017</c:v>
                </c:pt>
              </c:strCache>
            </c:strRef>
          </c:cat>
          <c:val>
            <c:numRef>
              <c:f>'9.2 PNBP'!$Z$3:$AD$3</c:f>
              <c:numCache>
                <c:formatCode>#,##0_ ;\-#,##0\ </c:formatCode>
                <c:ptCount val="5"/>
                <c:pt idx="0">
                  <c:v>9984982</c:v>
                </c:pt>
                <c:pt idx="1">
                  <c:v>14480296</c:v>
                </c:pt>
                <c:pt idx="2">
                  <c:v>19501610</c:v>
                </c:pt>
                <c:pt idx="3">
                  <c:v>23414414</c:v>
                </c:pt>
                <c:pt idx="4">
                  <c:v>17498787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3FA-4738-BA06-F1C321DF62C9}"/>
            </c:ext>
          </c:extLst>
        </c:ser>
        <c:ser>
          <c:idx val="2"/>
          <c:order val="2"/>
          <c:tx>
            <c:strRef>
              <c:f>'9.2 PNBP'!$Y$4</c:f>
              <c:strCache>
                <c:ptCount val="1"/>
                <c:pt idx="0">
                  <c:v>Realisasi Penggunaan PNBP</c:v>
                </c:pt>
              </c:strCache>
            </c:strRef>
          </c:tx>
          <c:spPr>
            <a:gradFill flip="none" rotWithShape="1">
              <a:gsLst>
                <a:gs pos="0">
                  <a:schemeClr val="accent5"/>
                </a:gs>
                <a:gs pos="75000">
                  <a:schemeClr val="accent5">
                    <a:lumMod val="60000"/>
                    <a:lumOff val="40000"/>
                  </a:schemeClr>
                </a:gs>
                <a:gs pos="51000">
                  <a:schemeClr val="accent5">
                    <a:alpha val="75000"/>
                  </a:schemeClr>
                </a:gs>
                <a:gs pos="100000">
                  <a:schemeClr val="accent5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cat>
            <c:strRef>
              <c:f>'9.2 PNBP'!$Z$1:$AD$1</c:f>
              <c:strCache>
                <c:ptCount val="5"/>
                <c:pt idx="0">
                  <c:v>TAHUN 2013</c:v>
                </c:pt>
                <c:pt idx="1">
                  <c:v>TAHUN 2014</c:v>
                </c:pt>
                <c:pt idx="2">
                  <c:v>TAHUN 2015</c:v>
                </c:pt>
                <c:pt idx="3">
                  <c:v>TAHUN 2016</c:v>
                </c:pt>
                <c:pt idx="4">
                  <c:v>TAHUN 2017</c:v>
                </c:pt>
              </c:strCache>
            </c:strRef>
          </c:cat>
          <c:val>
            <c:numRef>
              <c:f>'9.2 PNBP'!$Z$4:$AD$4</c:f>
              <c:numCache>
                <c:formatCode>#,##0_ ;\-#,##0\ </c:formatCode>
                <c:ptCount val="5"/>
                <c:pt idx="0">
                  <c:v>8345198</c:v>
                </c:pt>
                <c:pt idx="1">
                  <c:v>10292855</c:v>
                </c:pt>
                <c:pt idx="2">
                  <c:v>11106987</c:v>
                </c:pt>
                <c:pt idx="3">
                  <c:v>13563369</c:v>
                </c:pt>
                <c:pt idx="4">
                  <c:v>17498787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3FA-4738-BA06-F1C321DF62C9}"/>
            </c:ext>
          </c:extLst>
        </c:ser>
        <c:gapWidth val="100"/>
        <c:overlap val="-25"/>
        <c:axId val="81826944"/>
        <c:axId val="81828480"/>
      </c:barChart>
      <c:catAx>
        <c:axId val="81826944"/>
        <c:scaling>
          <c:orientation val="minMax"/>
        </c:scaling>
        <c:axPos val="b"/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1828480"/>
        <c:crosses val="autoZero"/>
        <c:auto val="1"/>
        <c:lblAlgn val="ctr"/>
        <c:lblOffset val="100"/>
      </c:catAx>
      <c:valAx>
        <c:axId val="81828480"/>
        <c:scaling>
          <c:orientation val="minMax"/>
        </c:scaling>
        <c:axPos val="l"/>
        <c:majorGridlines>
          <c:spPr>
            <a:ln w="9525" cap="flat" cmpd="sng" algn="ctr">
              <a:gradFill>
                <a:gsLst>
                  <a:gs pos="100000">
                    <a:schemeClr val="tx1">
                      <a:lumMod val="5000"/>
                      <a:lumOff val="95000"/>
                    </a:schemeClr>
                  </a:gs>
                  <a:gs pos="0">
                    <a:schemeClr val="tx1">
                      <a:lumMod val="25000"/>
                      <a:lumOff val="7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d-ID"/>
                  <a:t>(Dalam Miliar Rupiah)</a:t>
                </a:r>
              </a:p>
            </c:rich>
          </c:tx>
          <c:spPr>
            <a:noFill/>
            <a:ln>
              <a:noFill/>
            </a:ln>
            <a:effectLst/>
          </c:spPr>
        </c:title>
        <c:numFmt formatCode="#,##0_ ;\-#,##0\ 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1826944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legend>
      <c:legendPos val="b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17318</xdr:colOff>
      <xdr:row>4</xdr:row>
      <xdr:rowOff>181840</xdr:rowOff>
    </xdr:from>
    <xdr:to>
      <xdr:col>31</xdr:col>
      <xdr:colOff>242455</xdr:colOff>
      <xdr:row>23</xdr:row>
      <xdr:rowOff>43295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DA-2017-OKE\9.%20KEUANGA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9.1"/>
      <sheetName val="9.1 (Usulan)"/>
      <sheetName val="9.2 (Usulan)"/>
      <sheetName val="9.2 (Lama)"/>
      <sheetName val="9.3 (Lama)"/>
    </sheetNames>
    <sheetDataSet>
      <sheetData sheetId="0">
        <row r="2">
          <cell r="N2" t="str">
            <v>2017/2018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B1:W27"/>
  <sheetViews>
    <sheetView showGridLines="0" tabSelected="1" zoomScale="110" zoomScaleNormal="110" workbookViewId="0">
      <selection activeCell="L32" sqref="L32"/>
    </sheetView>
  </sheetViews>
  <sheetFormatPr defaultRowHeight="14.25"/>
  <cols>
    <col min="1" max="1" width="2.7109375" style="47" customWidth="1"/>
    <col min="2" max="2" width="2.85546875" style="47" customWidth="1"/>
    <col min="3" max="3" width="4.140625" style="47" customWidth="1"/>
    <col min="4" max="4" width="31.7109375" style="47" customWidth="1"/>
    <col min="5" max="11" width="11.7109375" style="47" hidden="1" customWidth="1"/>
    <col min="12" max="13" width="15" style="47" customWidth="1"/>
    <col min="14" max="14" width="14.85546875" style="47" customWidth="1"/>
    <col min="15" max="15" width="9.140625" style="47"/>
    <col min="16" max="16" width="2.7109375" style="47" customWidth="1"/>
    <col min="17" max="17" width="16" style="47" bestFit="1" customWidth="1"/>
    <col min="18" max="16384" width="9.140625" style="47"/>
  </cols>
  <sheetData>
    <row r="1" spans="2:23" ht="24.95" customHeight="1">
      <c r="B1" s="47" t="s">
        <v>29</v>
      </c>
      <c r="I1" s="48"/>
      <c r="O1" s="49" t="s">
        <v>30</v>
      </c>
      <c r="Q1" s="50"/>
      <c r="R1" s="51" t="str">
        <f ca="1">MID(INDIRECT(SUBSTITUTE(ADDRESS(1,O4,4),"1","")&amp;4),7,100)</f>
        <v>2013</v>
      </c>
      <c r="S1" s="52" t="str">
        <f ca="1">MID(INDIRECT(SUBSTITUTE(ADDRESS(1,O4+1,4),"1","")&amp;4),7,100)</f>
        <v>2014</v>
      </c>
      <c r="T1" s="52" t="str">
        <f ca="1">MID(INDIRECT(SUBSTITUTE(ADDRESS(1,O4+2,4),"1","")&amp;4),7,100)</f>
        <v>2015</v>
      </c>
      <c r="U1" s="52" t="str">
        <f ca="1">MID(INDIRECT(SUBSTITUTE(ADDRESS(1,O4+3,4),"1","")&amp;4),7,100)</f>
        <v>2016</v>
      </c>
      <c r="V1" s="53" t="str">
        <f ca="1">MID(INDIRECT(SUBSTITUTE(ADDRESS(1,O4+4,4),"1","")&amp;4),7,100)</f>
        <v>2017</v>
      </c>
    </row>
    <row r="2" spans="2:23" ht="17.100000000000001" customHeight="1">
      <c r="B2" s="235" t="s">
        <v>0</v>
      </c>
      <c r="C2" s="235"/>
      <c r="D2" s="236"/>
      <c r="E2" s="219" t="s">
        <v>1</v>
      </c>
      <c r="F2" s="220"/>
      <c r="G2" s="220"/>
      <c r="H2" s="220"/>
      <c r="I2" s="220"/>
      <c r="J2" s="220"/>
      <c r="K2" s="220"/>
      <c r="L2" s="220"/>
      <c r="M2" s="221"/>
      <c r="N2" s="142"/>
      <c r="O2" s="54" t="s">
        <v>31</v>
      </c>
      <c r="Q2" s="55" t="s">
        <v>32</v>
      </c>
      <c r="R2" s="56">
        <f ca="1">INDIRECT(SUBSTITUTE(ADDRESS(1,O4,4),"1","")&amp;CELL("row",$B8))</f>
        <v>177349373</v>
      </c>
      <c r="S2" s="57">
        <f ca="1">INDIRECT(SUBSTITUTE(ADDRESS(1,O4+1,4),"1","")&amp;CELL("row",$B8))</f>
        <v>109393097</v>
      </c>
      <c r="T2" s="57">
        <f ca="1">INDIRECT(SUBSTITUTE(ADDRESS(1,O4+2,4),"1","")&amp;CELL("row",$B8))</f>
        <v>175031747</v>
      </c>
      <c r="U2" s="57">
        <f ca="1">INDIRECT(SUBSTITUTE(ADDRESS(1,O4+3,4),"1","")&amp;CELL("row",$B8))</f>
        <v>97102103</v>
      </c>
      <c r="V2" s="58">
        <f ca="1">INDIRECT(SUBSTITUTE(ADDRESS(1,O4+4,4),"1","")&amp;CELL("row",$B8))</f>
        <v>70469126</v>
      </c>
      <c r="W2" s="59">
        <f ca="1">MAX(R2:V2)*140%</f>
        <v>248289122.19999999</v>
      </c>
    </row>
    <row r="3" spans="2:23" ht="17.100000000000001" customHeight="1">
      <c r="B3" s="237"/>
      <c r="C3" s="237"/>
      <c r="D3" s="238"/>
      <c r="E3" s="222"/>
      <c r="F3" s="223"/>
      <c r="G3" s="223"/>
      <c r="H3" s="223"/>
      <c r="I3" s="223"/>
      <c r="J3" s="223"/>
      <c r="K3" s="223"/>
      <c r="L3" s="223"/>
      <c r="M3" s="224"/>
      <c r="N3" s="142"/>
      <c r="O3" s="60" t="str">
        <f>SUBSTITUTE(ADDRESS(1,VALUE(LEFT(O2,4)-2010)*1+1,4),"1","")</f>
        <v>H</v>
      </c>
      <c r="Q3" s="61" t="s">
        <v>33</v>
      </c>
      <c r="R3" s="62">
        <f ca="1">R2/(MAX($R$2:$V$2)*140%)*100</f>
        <v>71.428571428571431</v>
      </c>
      <c r="S3" s="63">
        <f t="shared" ref="S3:V3" ca="1" si="0">S2/(MAX($R$2:$V$2)*140%)*100</f>
        <v>44.058755385941758</v>
      </c>
      <c r="T3" s="63">
        <f t="shared" ca="1" si="0"/>
        <v>70.495133032453083</v>
      </c>
      <c r="U3" s="63">
        <f t="shared" ca="1" si="0"/>
        <v>39.108480524484293</v>
      </c>
      <c r="V3" s="64">
        <f t="shared" ca="1" si="0"/>
        <v>28.381882128221562</v>
      </c>
    </row>
    <row r="4" spans="2:23" ht="15.95" customHeight="1">
      <c r="B4" s="237"/>
      <c r="C4" s="237"/>
      <c r="D4" s="238"/>
      <c r="E4" s="1" t="s">
        <v>2</v>
      </c>
      <c r="F4" s="2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152" t="s">
        <v>74</v>
      </c>
      <c r="N4" s="147"/>
      <c r="O4" s="65">
        <f ca="1">COLUMN(INDIRECT(O3&amp;"1"))</f>
        <v>8</v>
      </c>
      <c r="Q4" s="66" t="s">
        <v>34</v>
      </c>
      <c r="R4" s="67">
        <f ca="1">100-R3</f>
        <v>28.571428571428569</v>
      </c>
      <c r="S4" s="68">
        <f t="shared" ref="S4:V4" ca="1" si="1">100-S3</f>
        <v>55.941244614058242</v>
      </c>
      <c r="T4" s="68">
        <f t="shared" ca="1" si="1"/>
        <v>29.504866967546917</v>
      </c>
      <c r="U4" s="68">
        <f t="shared" ca="1" si="1"/>
        <v>60.891519475515707</v>
      </c>
      <c r="V4" s="69">
        <f t="shared" ca="1" si="1"/>
        <v>71.618117871778438</v>
      </c>
    </row>
    <row r="5" spans="2:23" ht="15.95" customHeight="1">
      <c r="B5" s="4">
        <v>1</v>
      </c>
      <c r="C5" s="5" t="s">
        <v>10</v>
      </c>
      <c r="D5" s="5"/>
      <c r="E5" s="6"/>
      <c r="F5" s="6"/>
      <c r="G5" s="6"/>
      <c r="H5" s="6"/>
      <c r="I5" s="6"/>
      <c r="J5" s="6"/>
      <c r="K5" s="6"/>
      <c r="L5" s="6"/>
      <c r="M5" s="6"/>
      <c r="N5" s="143"/>
      <c r="R5" s="70" t="str">
        <f ca="1">"TAHUN "&amp;R1</f>
        <v>TAHUN 2013</v>
      </c>
      <c r="S5" s="70" t="str">
        <f ca="1">"TAHUN "&amp;S1</f>
        <v>TAHUN 2014</v>
      </c>
      <c r="T5" s="70" t="str">
        <f ca="1">"TAHUN "&amp;T1</f>
        <v>TAHUN 2015</v>
      </c>
      <c r="U5" s="70" t="str">
        <f ca="1">"TAHUN "&amp;U1</f>
        <v>TAHUN 2016</v>
      </c>
      <c r="V5" s="71" t="str">
        <f ca="1">"TAHUN "&amp;V1</f>
        <v>TAHUN 2017</v>
      </c>
    </row>
    <row r="6" spans="2:23" ht="15.95" customHeight="1">
      <c r="B6" s="7"/>
      <c r="C6" s="8">
        <v>1</v>
      </c>
      <c r="D6" s="9" t="s">
        <v>11</v>
      </c>
      <c r="E6" s="10">
        <v>30921183</v>
      </c>
      <c r="F6" s="11">
        <v>41676958</v>
      </c>
      <c r="G6" s="12">
        <v>199755797</v>
      </c>
      <c r="H6" s="12">
        <v>168567380</v>
      </c>
      <c r="I6" s="12">
        <v>96224807</v>
      </c>
      <c r="J6" s="12">
        <v>160977506</v>
      </c>
      <c r="K6" s="12">
        <f>55761327+21559316+5670000</f>
        <v>82990643</v>
      </c>
      <c r="L6" s="13">
        <v>53373140</v>
      </c>
      <c r="M6" s="179">
        <v>56592663</v>
      </c>
      <c r="N6" s="144"/>
      <c r="R6" s="72">
        <f ca="1">R2/$W$2*100</f>
        <v>71.428571428571431</v>
      </c>
      <c r="S6" s="73">
        <f t="shared" ref="S6:V6" ca="1" si="2">S2/$W$2*100</f>
        <v>44.058755385941758</v>
      </c>
      <c r="T6" s="73">
        <f t="shared" ca="1" si="2"/>
        <v>70.495133032453083</v>
      </c>
      <c r="U6" s="73">
        <f t="shared" ca="1" si="2"/>
        <v>39.108480524484293</v>
      </c>
      <c r="V6" s="73">
        <f t="shared" ca="1" si="2"/>
        <v>28.381882128221562</v>
      </c>
      <c r="W6" s="74">
        <f ca="1">SUM(R6:V6)</f>
        <v>253.47282249967213</v>
      </c>
    </row>
    <row r="7" spans="2:23" ht="15.95" customHeight="1">
      <c r="B7" s="14"/>
      <c r="C7" s="15">
        <v>2</v>
      </c>
      <c r="D7" s="16" t="s">
        <v>12</v>
      </c>
      <c r="E7" s="17">
        <v>6912277</v>
      </c>
      <c r="F7" s="18">
        <v>7469614</v>
      </c>
      <c r="G7" s="19">
        <v>9074808</v>
      </c>
      <c r="H7" s="19">
        <v>8781993</v>
      </c>
      <c r="I7" s="19">
        <v>13168290</v>
      </c>
      <c r="J7" s="19">
        <v>14054241</v>
      </c>
      <c r="K7" s="19">
        <v>14111460</v>
      </c>
      <c r="L7" s="20">
        <v>17095986</v>
      </c>
      <c r="M7" s="180">
        <v>15016023</v>
      </c>
      <c r="N7" s="144"/>
      <c r="R7" s="75">
        <f ca="1">100-R6</f>
        <v>28.571428571428569</v>
      </c>
      <c r="S7" s="75">
        <f t="shared" ref="S7:V7" ca="1" si="3">100-S6</f>
        <v>55.941244614058242</v>
      </c>
      <c r="T7" s="75">
        <f t="shared" ca="1" si="3"/>
        <v>29.504866967546917</v>
      </c>
      <c r="U7" s="75">
        <f t="shared" ca="1" si="3"/>
        <v>60.891519475515707</v>
      </c>
      <c r="V7" s="75">
        <f t="shared" ca="1" si="3"/>
        <v>71.618117871778438</v>
      </c>
    </row>
    <row r="8" spans="2:23" ht="15.95" customHeight="1">
      <c r="B8" s="14"/>
      <c r="C8" s="239" t="s">
        <v>13</v>
      </c>
      <c r="D8" s="240"/>
      <c r="E8" s="21">
        <f>SUM(E6:E7)</f>
        <v>37833460</v>
      </c>
      <c r="F8" s="22">
        <f>SUM(F6:F7)</f>
        <v>49146572</v>
      </c>
      <c r="G8" s="23">
        <f t="shared" ref="G8:L8" si="4">SUM(G6:G7)</f>
        <v>208830605</v>
      </c>
      <c r="H8" s="23">
        <f t="shared" si="4"/>
        <v>177349373</v>
      </c>
      <c r="I8" s="23">
        <f t="shared" si="4"/>
        <v>109393097</v>
      </c>
      <c r="J8" s="23">
        <f t="shared" si="4"/>
        <v>175031747</v>
      </c>
      <c r="K8" s="23">
        <f t="shared" si="4"/>
        <v>97102103</v>
      </c>
      <c r="L8" s="24">
        <f t="shared" si="4"/>
        <v>70469126</v>
      </c>
      <c r="M8" s="181">
        <f t="shared" ref="M8" si="5">SUM(M6:M7)</f>
        <v>71608686</v>
      </c>
      <c r="N8" s="143"/>
      <c r="R8" s="76"/>
      <c r="S8" s="76"/>
      <c r="T8" s="76"/>
      <c r="U8" s="76"/>
      <c r="V8" s="76"/>
    </row>
    <row r="9" spans="2:23" ht="15.95" customHeight="1">
      <c r="B9" s="14"/>
      <c r="C9" s="241" t="s">
        <v>14</v>
      </c>
      <c r="D9" s="242"/>
      <c r="E9" s="25">
        <f t="shared" ref="E9:L10" si="6">IFERROR(E6/E$8,0)</f>
        <v>0.81729725486381632</v>
      </c>
      <c r="F9" s="25">
        <f t="shared" si="6"/>
        <v>0.84801352981444977</v>
      </c>
      <c r="G9" s="25">
        <f t="shared" si="6"/>
        <v>0.9565446453598121</v>
      </c>
      <c r="H9" s="25">
        <f t="shared" si="6"/>
        <v>0.95048196195201662</v>
      </c>
      <c r="I9" s="25">
        <f t="shared" si="6"/>
        <v>0.87962412290055192</v>
      </c>
      <c r="J9" s="25">
        <f t="shared" si="6"/>
        <v>0.91970461792854075</v>
      </c>
      <c r="K9" s="25">
        <f t="shared" si="6"/>
        <v>0.85467400227160883</v>
      </c>
      <c r="L9" s="26">
        <f t="shared" si="6"/>
        <v>0.75739750199257472</v>
      </c>
      <c r="M9" s="182">
        <f t="shared" ref="M9" si="7">IFERROR(M6/M$8,0)</f>
        <v>0.7903044471448617</v>
      </c>
      <c r="N9" s="145"/>
    </row>
    <row r="10" spans="2:23" ht="15.95" customHeight="1">
      <c r="B10" s="14"/>
      <c r="C10" s="243" t="s">
        <v>15</v>
      </c>
      <c r="D10" s="244"/>
      <c r="E10" s="27">
        <f>IFERROR(E7/E$8,0)</f>
        <v>0.18270274513618368</v>
      </c>
      <c r="F10" s="27">
        <f t="shared" si="6"/>
        <v>0.15198647018555028</v>
      </c>
      <c r="G10" s="27">
        <f t="shared" si="6"/>
        <v>4.3455354640187918E-2</v>
      </c>
      <c r="H10" s="27">
        <f t="shared" si="6"/>
        <v>4.9518038047983402E-2</v>
      </c>
      <c r="I10" s="27">
        <f t="shared" si="6"/>
        <v>0.12037587709944805</v>
      </c>
      <c r="J10" s="27">
        <f t="shared" si="6"/>
        <v>8.0295382071459295E-2</v>
      </c>
      <c r="K10" s="27">
        <f t="shared" si="6"/>
        <v>0.14532599772839111</v>
      </c>
      <c r="L10" s="28">
        <f t="shared" si="6"/>
        <v>0.24260249800742525</v>
      </c>
      <c r="M10" s="183">
        <f t="shared" ref="M10" si="8">IFERROR(M7/M$8,0)</f>
        <v>0.20969555285513827</v>
      </c>
      <c r="N10" s="145"/>
    </row>
    <row r="11" spans="2:23" ht="15.95" customHeight="1">
      <c r="B11" s="4">
        <v>2</v>
      </c>
      <c r="C11" s="5" t="s">
        <v>16</v>
      </c>
      <c r="D11" s="5"/>
      <c r="E11" s="6"/>
      <c r="F11" s="6"/>
      <c r="G11" s="6"/>
      <c r="H11" s="6"/>
      <c r="I11" s="6"/>
      <c r="J11" s="6"/>
      <c r="K11" s="6"/>
      <c r="L11" s="6"/>
      <c r="M11" s="184"/>
      <c r="N11" s="143"/>
    </row>
    <row r="12" spans="2:23" ht="15.95" customHeight="1">
      <c r="B12" s="7"/>
      <c r="C12" s="29">
        <v>1</v>
      </c>
      <c r="D12" s="9" t="s">
        <v>17</v>
      </c>
      <c r="E12" s="10">
        <v>16982765</v>
      </c>
      <c r="F12" s="11">
        <v>18986860</v>
      </c>
      <c r="G12" s="12">
        <v>24871347</v>
      </c>
      <c r="H12" s="12">
        <v>28444165</v>
      </c>
      <c r="I12" s="12">
        <v>31179875</v>
      </c>
      <c r="J12" s="12">
        <v>21611154</v>
      </c>
      <c r="K12" s="12">
        <v>37780850</v>
      </c>
      <c r="L12" s="13">
        <v>35392663</v>
      </c>
      <c r="M12" s="179">
        <v>35392663</v>
      </c>
      <c r="N12" s="144"/>
    </row>
    <row r="13" spans="2:23" ht="15.95" customHeight="1">
      <c r="B13" s="14"/>
      <c r="C13" s="30">
        <v>2</v>
      </c>
      <c r="D13" s="31" t="s">
        <v>18</v>
      </c>
      <c r="E13" s="32">
        <v>15050703</v>
      </c>
      <c r="F13" s="33">
        <v>17475268</v>
      </c>
      <c r="G13" s="34">
        <v>25897670</v>
      </c>
      <c r="H13" s="34">
        <v>30202704</v>
      </c>
      <c r="I13" s="34">
        <v>36755782</v>
      </c>
      <c r="J13" s="34">
        <v>37771864</v>
      </c>
      <c r="K13" s="34">
        <f>32091937+3276275+4083185</f>
        <v>39451397</v>
      </c>
      <c r="L13" s="35">
        <v>34009300</v>
      </c>
      <c r="M13" s="185">
        <v>33869495</v>
      </c>
      <c r="N13" s="144"/>
    </row>
    <row r="14" spans="2:23" ht="15.95" customHeight="1">
      <c r="B14" s="14"/>
      <c r="C14" s="30">
        <v>3</v>
      </c>
      <c r="D14" s="31" t="s">
        <v>19</v>
      </c>
      <c r="E14" s="32">
        <v>4694992</v>
      </c>
      <c r="F14" s="33">
        <v>10514844</v>
      </c>
      <c r="G14" s="34">
        <v>154917588</v>
      </c>
      <c r="H14" s="34">
        <v>118702504</v>
      </c>
      <c r="I14" s="34">
        <v>40302440</v>
      </c>
      <c r="J14" s="34">
        <v>115648729</v>
      </c>
      <c r="K14" s="34">
        <f>18283041+1586815</f>
        <v>19869856</v>
      </c>
      <c r="L14" s="35">
        <v>1067163</v>
      </c>
      <c r="M14" s="185">
        <v>2346528</v>
      </c>
      <c r="N14" s="144"/>
    </row>
    <row r="15" spans="2:23" ht="15.95" customHeight="1">
      <c r="B15" s="14"/>
      <c r="C15" s="36">
        <v>4</v>
      </c>
      <c r="D15" s="16" t="s">
        <v>20</v>
      </c>
      <c r="E15" s="17">
        <v>1105000</v>
      </c>
      <c r="F15" s="18">
        <v>2169600</v>
      </c>
      <c r="G15" s="19">
        <v>3144000</v>
      </c>
      <c r="H15" s="19">
        <v>0</v>
      </c>
      <c r="I15" s="19">
        <v>1155000</v>
      </c>
      <c r="J15" s="19">
        <v>0</v>
      </c>
      <c r="K15" s="19">
        <v>0</v>
      </c>
      <c r="L15" s="20">
        <v>0</v>
      </c>
      <c r="M15" s="180">
        <v>0</v>
      </c>
      <c r="N15" s="144"/>
    </row>
    <row r="16" spans="2:23" ht="15.95" customHeight="1">
      <c r="B16" s="14"/>
      <c r="C16" s="239" t="s">
        <v>76</v>
      </c>
      <c r="D16" s="240"/>
      <c r="E16" s="21">
        <f t="shared" ref="E16:L16" si="9">SUM(E12:E15)</f>
        <v>37833460</v>
      </c>
      <c r="F16" s="22">
        <f t="shared" si="9"/>
        <v>49146572</v>
      </c>
      <c r="G16" s="23">
        <f t="shared" si="9"/>
        <v>208830605</v>
      </c>
      <c r="H16" s="23">
        <f t="shared" si="9"/>
        <v>177349373</v>
      </c>
      <c r="I16" s="23">
        <f t="shared" si="9"/>
        <v>109393097</v>
      </c>
      <c r="J16" s="23">
        <f t="shared" si="9"/>
        <v>175031747</v>
      </c>
      <c r="K16" s="23">
        <f t="shared" si="9"/>
        <v>97102103</v>
      </c>
      <c r="L16" s="24">
        <f t="shared" si="9"/>
        <v>70469126</v>
      </c>
      <c r="M16" s="181">
        <f t="shared" ref="M16" si="10">SUM(M12:M15)</f>
        <v>71608686</v>
      </c>
      <c r="N16" s="143"/>
    </row>
    <row r="17" spans="2:14" ht="15.95" customHeight="1">
      <c r="B17" s="158">
        <v>3</v>
      </c>
      <c r="C17" s="153" t="s">
        <v>75</v>
      </c>
      <c r="D17" s="154"/>
      <c r="E17" s="155"/>
      <c r="F17" s="155"/>
      <c r="G17" s="155"/>
      <c r="H17" s="155"/>
      <c r="I17" s="155"/>
      <c r="J17" s="155"/>
      <c r="K17" s="155"/>
      <c r="L17" s="157">
        <f>SUM(L18:L21)</f>
        <v>68183979</v>
      </c>
      <c r="M17" s="186">
        <f>SUM(M18:M21)</f>
        <v>49173553</v>
      </c>
      <c r="N17" s="143"/>
    </row>
    <row r="18" spans="2:14" ht="15.95" customHeight="1">
      <c r="B18" s="159"/>
      <c r="C18" s="160">
        <v>1</v>
      </c>
      <c r="D18" s="161" t="s">
        <v>17</v>
      </c>
      <c r="E18" s="164"/>
      <c r="F18" s="165"/>
      <c r="G18" s="166"/>
      <c r="H18" s="166"/>
      <c r="I18" s="166"/>
      <c r="J18" s="166"/>
      <c r="K18" s="166"/>
      <c r="L18" s="167">
        <v>35169615</v>
      </c>
      <c r="M18" s="187">
        <v>27758155</v>
      </c>
      <c r="N18" s="143"/>
    </row>
    <row r="19" spans="2:14" ht="15.95" customHeight="1">
      <c r="B19" s="159"/>
      <c r="C19" s="162">
        <v>2</v>
      </c>
      <c r="D19" s="163" t="s">
        <v>18</v>
      </c>
      <c r="E19" s="168"/>
      <c r="F19" s="169"/>
      <c r="G19" s="170"/>
      <c r="H19" s="170"/>
      <c r="I19" s="170"/>
      <c r="J19" s="170"/>
      <c r="K19" s="170"/>
      <c r="L19" s="171">
        <v>33014364</v>
      </c>
      <c r="M19" s="188">
        <v>19288529</v>
      </c>
      <c r="N19" s="143"/>
    </row>
    <row r="20" spans="2:14" ht="15.95" customHeight="1">
      <c r="B20" s="159"/>
      <c r="C20" s="162">
        <v>3</v>
      </c>
      <c r="D20" s="163" t="s">
        <v>19</v>
      </c>
      <c r="E20" s="168"/>
      <c r="F20" s="169"/>
      <c r="G20" s="170"/>
      <c r="H20" s="170"/>
      <c r="I20" s="170"/>
      <c r="J20" s="170"/>
      <c r="K20" s="170"/>
      <c r="L20" s="171"/>
      <c r="M20" s="188">
        <v>2126869</v>
      </c>
      <c r="N20" s="143"/>
    </row>
    <row r="21" spans="2:14" ht="15.95" customHeight="1">
      <c r="B21" s="172"/>
      <c r="C21" s="173">
        <v>4</v>
      </c>
      <c r="D21" s="174" t="s">
        <v>20</v>
      </c>
      <c r="E21" s="175"/>
      <c r="F21" s="176"/>
      <c r="G21" s="177"/>
      <c r="H21" s="177"/>
      <c r="I21" s="177"/>
      <c r="J21" s="177"/>
      <c r="K21" s="177"/>
      <c r="L21" s="178"/>
      <c r="M21" s="189"/>
      <c r="N21" s="143"/>
    </row>
    <row r="22" spans="2:14" ht="15.95" customHeight="1">
      <c r="B22" s="14"/>
      <c r="C22" s="227" t="s">
        <v>22</v>
      </c>
      <c r="D22" s="228"/>
      <c r="E22" s="37">
        <f>IFERROR(E12/E$16,0)</f>
        <v>0.44888215352230537</v>
      </c>
      <c r="F22" s="37">
        <f t="shared" ref="F22:L25" si="11">IFERROR(F12/F$16,0)</f>
        <v>0.38633131930340942</v>
      </c>
      <c r="G22" s="37">
        <f t="shared" si="11"/>
        <v>0.1190981896547204</v>
      </c>
      <c r="H22" s="37">
        <f t="shared" si="11"/>
        <v>0.16038491999630583</v>
      </c>
      <c r="I22" s="37">
        <f t="shared" si="11"/>
        <v>0.28502598294662046</v>
      </c>
      <c r="J22" s="37">
        <f t="shared" si="11"/>
        <v>0.12346990971872092</v>
      </c>
      <c r="K22" s="37">
        <f t="shared" si="11"/>
        <v>0.38908374620887459</v>
      </c>
      <c r="L22" s="38">
        <f t="shared" si="11"/>
        <v>0.50224353570101044</v>
      </c>
      <c r="M22" s="190">
        <f t="shared" ref="M22" si="12">IFERROR(M12/M$16,0)</f>
        <v>0.49425097675999807</v>
      </c>
      <c r="N22" s="145"/>
    </row>
    <row r="23" spans="2:14" ht="15.95" customHeight="1">
      <c r="B23" s="14"/>
      <c r="C23" s="229" t="s">
        <v>23</v>
      </c>
      <c r="D23" s="230"/>
      <c r="E23" s="37">
        <f>IFERROR(E13/E$16,0)</f>
        <v>0.3978146064356789</v>
      </c>
      <c r="F23" s="37">
        <f t="shared" si="11"/>
        <v>0.35557450476912206</v>
      </c>
      <c r="G23" s="37">
        <f t="shared" si="11"/>
        <v>0.12401280932936051</v>
      </c>
      <c r="H23" s="37">
        <f t="shared" si="11"/>
        <v>0.17030059643909765</v>
      </c>
      <c r="I23" s="37">
        <f t="shared" si="11"/>
        <v>0.33599727046762373</v>
      </c>
      <c r="J23" s="37">
        <f t="shared" si="11"/>
        <v>0.21580007425738601</v>
      </c>
      <c r="K23" s="37">
        <f t="shared" si="11"/>
        <v>0.40628777113097131</v>
      </c>
      <c r="L23" s="39">
        <f t="shared" si="11"/>
        <v>0.48261276860450913</v>
      </c>
      <c r="M23" s="191">
        <f t="shared" ref="M23" si="13">IFERROR(M13/M$16,0)</f>
        <v>0.47298026108173524</v>
      </c>
      <c r="N23" s="145"/>
    </row>
    <row r="24" spans="2:14" ht="15.95" customHeight="1">
      <c r="B24" s="14"/>
      <c r="C24" s="229" t="s">
        <v>24</v>
      </c>
      <c r="D24" s="230"/>
      <c r="E24" s="37">
        <f>IFERROR(E14/E$16,0)</f>
        <v>0.12409628936925145</v>
      </c>
      <c r="F24" s="37">
        <f t="shared" si="11"/>
        <v>0.21394867580998325</v>
      </c>
      <c r="G24" s="37">
        <f t="shared" si="11"/>
        <v>0.74183373648704409</v>
      </c>
      <c r="H24" s="37">
        <f t="shared" si="11"/>
        <v>0.66931448356459655</v>
      </c>
      <c r="I24" s="37">
        <f t="shared" si="11"/>
        <v>0.36841849353620548</v>
      </c>
      <c r="J24" s="37">
        <f t="shared" si="11"/>
        <v>0.66073001602389303</v>
      </c>
      <c r="K24" s="37">
        <f t="shared" si="11"/>
        <v>0.20462848266015413</v>
      </c>
      <c r="L24" s="39">
        <f t="shared" si="11"/>
        <v>1.5143695694480446E-2</v>
      </c>
      <c r="M24" s="191">
        <f t="shared" ref="M24" si="14">IFERROR(M14/M$16,0)</f>
        <v>3.2768762158266664E-2</v>
      </c>
      <c r="N24" s="145"/>
    </row>
    <row r="25" spans="2:14" ht="15.95" customHeight="1">
      <c r="B25" s="14"/>
      <c r="C25" s="231" t="s">
        <v>25</v>
      </c>
      <c r="D25" s="232"/>
      <c r="E25" s="40">
        <f>IFERROR(E15/E$16,0)</f>
        <v>2.9206950672764267E-2</v>
      </c>
      <c r="F25" s="40">
        <f t="shared" si="11"/>
        <v>4.4145500117485303E-2</v>
      </c>
      <c r="G25" s="40">
        <f t="shared" si="11"/>
        <v>1.505526452887497E-2</v>
      </c>
      <c r="H25" s="40">
        <f t="shared" si="11"/>
        <v>0</v>
      </c>
      <c r="I25" s="40">
        <f t="shared" si="11"/>
        <v>1.0558253049550284E-2</v>
      </c>
      <c r="J25" s="40">
        <f t="shared" si="11"/>
        <v>0</v>
      </c>
      <c r="K25" s="40">
        <f t="shared" si="11"/>
        <v>0</v>
      </c>
      <c r="L25" s="41">
        <f t="shared" si="11"/>
        <v>0</v>
      </c>
      <c r="M25" s="192">
        <f t="shared" ref="M25" si="15">IFERROR(M15/M$16,0)</f>
        <v>0</v>
      </c>
      <c r="N25" s="145"/>
    </row>
    <row r="26" spans="2:14" ht="15.95" customHeight="1">
      <c r="B26" s="233" t="s">
        <v>26</v>
      </c>
      <c r="C26" s="233"/>
      <c r="D26" s="234"/>
      <c r="E26" s="42" t="str">
        <f t="shared" ref="E26:K26" si="16">IFERROR((E16/D16)-1,"N/A")</f>
        <v>N/A</v>
      </c>
      <c r="F26" s="43">
        <f t="shared" si="16"/>
        <v>0.29902398564656796</v>
      </c>
      <c r="G26" s="43">
        <f t="shared" si="16"/>
        <v>3.2491387802184857</v>
      </c>
      <c r="H26" s="43">
        <f t="shared" si="16"/>
        <v>-0.15075008761287645</v>
      </c>
      <c r="I26" s="43">
        <f t="shared" si="16"/>
        <v>-0.38317742459681547</v>
      </c>
      <c r="J26" s="43">
        <f t="shared" si="16"/>
        <v>0.60002552080594262</v>
      </c>
      <c r="K26" s="43">
        <f t="shared" si="16"/>
        <v>-0.44523148134949486</v>
      </c>
      <c r="L26" s="44">
        <f>IFERROR((L16/K16)-1,"N/A")</f>
        <v>-0.27427806584168424</v>
      </c>
      <c r="M26" s="193">
        <f>IFERROR((M16/L16)-1,"N/A")</f>
        <v>1.6171053405714231E-2</v>
      </c>
      <c r="N26" s="145"/>
    </row>
    <row r="27" spans="2:14" ht="15.95" customHeight="1">
      <c r="B27" s="233" t="s">
        <v>27</v>
      </c>
      <c r="C27" s="233"/>
      <c r="D27" s="234"/>
      <c r="E27" s="225">
        <f ca="1">(IF(T2=0,(V2/U2)^(1/1),IF(S2=0,(V2/T2)^(1/2),IF(R2=0,(V2/S2)^(1/3),(V2/R2)^(1/4))))-1)</f>
        <v>-0.2060515468056221</v>
      </c>
      <c r="F27" s="226"/>
      <c r="G27" s="226"/>
      <c r="H27" s="226"/>
      <c r="I27" s="226"/>
      <c r="J27" s="226"/>
      <c r="K27" s="226"/>
      <c r="L27" s="226"/>
      <c r="M27" s="226"/>
      <c r="N27" s="146"/>
    </row>
  </sheetData>
  <mergeCells count="13">
    <mergeCell ref="E2:M3"/>
    <mergeCell ref="E27:M27"/>
    <mergeCell ref="C22:D22"/>
    <mergeCell ref="C23:D23"/>
    <mergeCell ref="C24:D24"/>
    <mergeCell ref="C25:D25"/>
    <mergeCell ref="B26:D26"/>
    <mergeCell ref="B27:D27"/>
    <mergeCell ref="B2:D4"/>
    <mergeCell ref="C8:D8"/>
    <mergeCell ref="C9:D9"/>
    <mergeCell ref="C10:D10"/>
    <mergeCell ref="C16:D16"/>
  </mergeCells>
  <pageMargins left="0.7" right="0.7" top="0.75" bottom="0.75" header="0.3" footer="0.3"/>
  <pageSetup paperSize="9" scale="77" orientation="landscape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B1:T27"/>
  <sheetViews>
    <sheetView showGridLines="0" workbookViewId="0">
      <selection activeCell="H16" sqref="H16"/>
    </sheetView>
  </sheetViews>
  <sheetFormatPr defaultColWidth="9.140625" defaultRowHeight="14.25"/>
  <cols>
    <col min="1" max="1" width="2.7109375" style="47" customWidth="1"/>
    <col min="2" max="2" width="4.140625" style="47" customWidth="1"/>
    <col min="3" max="3" width="34.7109375" style="47" customWidth="1"/>
    <col min="4" max="7" width="11.7109375" style="47" hidden="1" customWidth="1"/>
    <col min="8" max="8" width="14.85546875" style="47" customWidth="1"/>
    <col min="9" max="9" width="15.42578125" style="47" customWidth="1"/>
    <col min="10" max="11" width="2.7109375" style="47" customWidth="1"/>
    <col min="12" max="12" width="9.140625" style="47"/>
    <col min="13" max="13" width="2.7109375" style="47" customWidth="1"/>
    <col min="14" max="14" width="16" style="47" bestFit="1" customWidth="1"/>
    <col min="15" max="18" width="9.140625" style="47"/>
    <col min="19" max="19" width="18.7109375" style="47" bestFit="1" customWidth="1"/>
    <col min="20" max="16384" width="9.140625" style="47"/>
  </cols>
  <sheetData>
    <row r="1" spans="2:20" ht="24.95" customHeight="1">
      <c r="B1" s="47" t="s">
        <v>59</v>
      </c>
      <c r="E1" s="48"/>
      <c r="L1" s="49" t="s">
        <v>30</v>
      </c>
      <c r="N1" s="50"/>
      <c r="O1" s="51" t="str">
        <f ca="1">INDIRECT(SUBSTITUTE(ADDRESS(1,L4,4),"1","")&amp;4)</f>
        <v>TAHUN 2013</v>
      </c>
      <c r="P1" s="52" t="str">
        <f ca="1">INDIRECT(SUBSTITUTE(ADDRESS(1,L4+1,4),"1","")&amp;4)</f>
        <v>TAHUN 2014</v>
      </c>
      <c r="Q1" s="52" t="str">
        <f ca="1">INDIRECT(SUBSTITUTE(ADDRESS(1,L4+2,4),"1","")&amp;4)</f>
        <v>TAHUN 2015</v>
      </c>
      <c r="R1" s="52" t="str">
        <f ca="1">INDIRECT(SUBSTITUTE(ADDRESS(1,L4+3,4),"1","")&amp;4)</f>
        <v>TAHUN 2016</v>
      </c>
      <c r="S1" s="53" t="str">
        <f ca="1">INDIRECT(SUBSTITUTE(ADDRESS(1,L4+4,4),"1","")&amp;4)</f>
        <v>TAHUN 2017</v>
      </c>
    </row>
    <row r="2" spans="2:20" ht="15" customHeight="1">
      <c r="B2" s="235" t="s">
        <v>60</v>
      </c>
      <c r="C2" s="236"/>
      <c r="D2" s="219" t="s">
        <v>61</v>
      </c>
      <c r="E2" s="220"/>
      <c r="F2" s="220"/>
      <c r="G2" s="220"/>
      <c r="H2" s="220"/>
      <c r="I2" s="220"/>
      <c r="L2" s="60" t="s">
        <v>31</v>
      </c>
      <c r="N2" s="112" t="s">
        <v>62</v>
      </c>
      <c r="O2" s="113">
        <f ca="1">INDIRECT(SUBSTITUTE(ADDRESS(1,L4,4),"1","")&amp;CELL("row",B16))</f>
        <v>5450000</v>
      </c>
      <c r="P2" s="113">
        <f ca="1">INDIRECT(SUBSTITUTE(ADDRESS(1,L4+1,4),"1","")&amp;CELL("row",B16))</f>
        <v>5800000</v>
      </c>
      <c r="Q2" s="113">
        <f ca="1">INDIRECT(SUBSTITUTE(ADDRESS(1,L4+2,4),"1","")&amp;CELL("row",B16))</f>
        <v>14858000</v>
      </c>
      <c r="R2" s="113">
        <f ca="1">INDIRECT(SUBSTITUTE(ADDRESS(1,L4+3,4),"1","")&amp;CELL("row",B16))</f>
        <v>14807175</v>
      </c>
      <c r="S2" s="114">
        <f ca="1">INDIRECT(SUBSTITUTE(ADDRESS(1,L4+4,4),"1","")&amp;CELL("row",B16))</f>
        <v>13052416</v>
      </c>
      <c r="T2" s="59">
        <f ca="1">MAX(O2:S2)+MAX(O2:S2)*40%</f>
        <v>20801200</v>
      </c>
    </row>
    <row r="3" spans="2:20" ht="15" customHeight="1">
      <c r="B3" s="237"/>
      <c r="C3" s="238"/>
      <c r="D3" s="222"/>
      <c r="E3" s="223"/>
      <c r="F3" s="223"/>
      <c r="G3" s="223"/>
      <c r="H3" s="223"/>
      <c r="I3" s="223"/>
      <c r="L3" s="60" t="str">
        <f>SUBSTITUTE(ADDRESS(1,VALUE(LEFT(L2,4)-2013),4),"1","")</f>
        <v>D</v>
      </c>
      <c r="N3" s="50"/>
      <c r="O3" s="115"/>
      <c r="P3" s="115"/>
      <c r="Q3" s="115"/>
      <c r="R3" s="115"/>
      <c r="S3" s="115"/>
    </row>
    <row r="4" spans="2:20" ht="15" customHeight="1">
      <c r="B4" s="245"/>
      <c r="C4" s="246"/>
      <c r="D4" s="1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152" t="s">
        <v>74</v>
      </c>
      <c r="L4" s="65">
        <f ca="1">COLUMN(INDIRECT(L3&amp;"1"))</f>
        <v>4</v>
      </c>
    </row>
    <row r="5" spans="2:20" ht="15" customHeight="1">
      <c r="B5" s="116">
        <v>1</v>
      </c>
      <c r="C5" s="117" t="s">
        <v>63</v>
      </c>
      <c r="D5" s="118">
        <f>SUBTOTAL(109,D6:D9)</f>
        <v>5450000</v>
      </c>
      <c r="E5" s="119">
        <f t="shared" ref="E5:G5" si="0">SUBTOTAL(109,E6:E9)</f>
        <v>5800000</v>
      </c>
      <c r="F5" s="119">
        <f t="shared" si="0"/>
        <v>6858000</v>
      </c>
      <c r="G5" s="119">
        <f t="shared" si="0"/>
        <v>4807175</v>
      </c>
      <c r="H5" s="120">
        <f>SUBTOTAL(109,H6:H9)</f>
        <v>4052416</v>
      </c>
      <c r="I5" s="195">
        <f>SUBTOTAL(109,I6:I9)</f>
        <v>4213000</v>
      </c>
    </row>
    <row r="6" spans="2:20" ht="15" customHeight="1">
      <c r="B6" s="121"/>
      <c r="C6" s="122" t="s">
        <v>64</v>
      </c>
      <c r="D6" s="123">
        <v>3500000</v>
      </c>
      <c r="E6" s="124">
        <v>2200000</v>
      </c>
      <c r="F6" s="124">
        <v>2000000</v>
      </c>
      <c r="G6" s="124">
        <v>1283842</v>
      </c>
      <c r="H6" s="125">
        <v>842453</v>
      </c>
      <c r="I6" s="196">
        <v>1713000</v>
      </c>
    </row>
    <row r="7" spans="2:20" ht="15" customHeight="1">
      <c r="B7" s="126"/>
      <c r="C7" s="127" t="s">
        <v>65</v>
      </c>
      <c r="D7" s="32">
        <v>1950000</v>
      </c>
      <c r="E7" s="34">
        <v>3600000</v>
      </c>
      <c r="F7" s="34">
        <v>2858000</v>
      </c>
      <c r="G7" s="34">
        <v>1523333</v>
      </c>
      <c r="H7" s="35">
        <v>709963</v>
      </c>
      <c r="I7" s="185">
        <v>0</v>
      </c>
    </row>
    <row r="8" spans="2:20" ht="15" customHeight="1">
      <c r="B8" s="126"/>
      <c r="C8" s="127" t="s">
        <v>66</v>
      </c>
      <c r="D8" s="32">
        <v>0</v>
      </c>
      <c r="E8" s="34">
        <v>0</v>
      </c>
      <c r="F8" s="34">
        <v>2000000</v>
      </c>
      <c r="G8" s="34">
        <v>2000000</v>
      </c>
      <c r="H8" s="35">
        <v>2500000</v>
      </c>
      <c r="I8" s="185">
        <v>2500000</v>
      </c>
    </row>
    <row r="9" spans="2:20" ht="15" hidden="1" customHeight="1">
      <c r="B9" s="128"/>
      <c r="C9" s="129" t="s">
        <v>67</v>
      </c>
      <c r="D9" s="130">
        <v>0</v>
      </c>
      <c r="E9" s="131">
        <v>0</v>
      </c>
      <c r="F9" s="131">
        <v>0</v>
      </c>
      <c r="G9" s="131">
        <v>0</v>
      </c>
      <c r="H9" s="132">
        <v>0</v>
      </c>
      <c r="I9" s="197">
        <v>0</v>
      </c>
    </row>
    <row r="10" spans="2:20" ht="15" customHeight="1">
      <c r="B10" s="133">
        <v>2</v>
      </c>
      <c r="C10" s="134" t="s">
        <v>68</v>
      </c>
      <c r="D10" s="135">
        <f>SUBTOTAL(109,D11:D14)</f>
        <v>0</v>
      </c>
      <c r="E10" s="136">
        <f t="shared" ref="E10" si="1">SUBTOTAL(109,E11:E14)</f>
        <v>0</v>
      </c>
      <c r="F10" s="137">
        <f t="shared" ref="F10:G10" si="2">SUBTOTAL(109,F11:F15)</f>
        <v>8000000</v>
      </c>
      <c r="G10" s="137">
        <f t="shared" si="2"/>
        <v>10000000</v>
      </c>
      <c r="H10" s="137">
        <f>SUBTOTAL(109,H11:H15)</f>
        <v>9000000</v>
      </c>
      <c r="I10" s="198">
        <f>SUBTOTAL(109,I11:I15)</f>
        <v>14500000</v>
      </c>
    </row>
    <row r="11" spans="2:20" ht="15" customHeight="1">
      <c r="B11" s="121"/>
      <c r="C11" s="122" t="s">
        <v>64</v>
      </c>
      <c r="D11" s="123">
        <v>0</v>
      </c>
      <c r="E11" s="124">
        <v>0</v>
      </c>
      <c r="F11" s="124">
        <v>0</v>
      </c>
      <c r="G11" s="124">
        <v>0</v>
      </c>
      <c r="H11" s="125">
        <v>0</v>
      </c>
      <c r="I11" s="196">
        <v>0</v>
      </c>
    </row>
    <row r="12" spans="2:20" ht="15" customHeight="1">
      <c r="B12" s="126"/>
      <c r="C12" s="127" t="s">
        <v>65</v>
      </c>
      <c r="D12" s="32">
        <v>0</v>
      </c>
      <c r="E12" s="34">
        <v>0</v>
      </c>
      <c r="F12" s="34">
        <v>0</v>
      </c>
      <c r="G12" s="34">
        <v>0</v>
      </c>
      <c r="H12" s="35">
        <v>0</v>
      </c>
      <c r="I12" s="185">
        <v>0</v>
      </c>
    </row>
    <row r="13" spans="2:20" ht="15" customHeight="1">
      <c r="B13" s="126"/>
      <c r="C13" s="127" t="s">
        <v>66</v>
      </c>
      <c r="D13" s="32">
        <v>0</v>
      </c>
      <c r="E13" s="34">
        <v>0</v>
      </c>
      <c r="F13" s="34">
        <v>8000000</v>
      </c>
      <c r="G13" s="34">
        <v>10000000</v>
      </c>
      <c r="H13" s="35">
        <v>9000000</v>
      </c>
      <c r="I13" s="185">
        <v>4500000</v>
      </c>
    </row>
    <row r="14" spans="2:20" ht="15" hidden="1" customHeight="1">
      <c r="B14" s="128"/>
      <c r="C14" s="129" t="s">
        <v>67</v>
      </c>
      <c r="D14" s="130">
        <v>0</v>
      </c>
      <c r="E14" s="131">
        <v>0</v>
      </c>
      <c r="F14" s="131">
        <v>0</v>
      </c>
      <c r="G14" s="131">
        <v>0</v>
      </c>
      <c r="H14" s="132">
        <v>0</v>
      </c>
      <c r="I14" s="197">
        <v>0</v>
      </c>
    </row>
    <row r="15" spans="2:20" ht="15" customHeight="1">
      <c r="B15" s="128"/>
      <c r="C15" s="127" t="s">
        <v>77</v>
      </c>
      <c r="D15" s="32">
        <v>0</v>
      </c>
      <c r="E15" s="34">
        <v>0</v>
      </c>
      <c r="F15" s="34">
        <v>0</v>
      </c>
      <c r="G15" s="34">
        <v>0</v>
      </c>
      <c r="H15" s="35">
        <v>0</v>
      </c>
      <c r="I15" s="185">
        <v>10000000</v>
      </c>
    </row>
    <row r="16" spans="2:20" ht="15" customHeight="1">
      <c r="B16" s="247" t="s">
        <v>69</v>
      </c>
      <c r="C16" s="248"/>
      <c r="D16" s="138">
        <f t="shared" ref="D16:G16" si="3">D5+D10</f>
        <v>5450000</v>
      </c>
      <c r="E16" s="138">
        <f t="shared" si="3"/>
        <v>5800000</v>
      </c>
      <c r="F16" s="138">
        <f t="shared" si="3"/>
        <v>14858000</v>
      </c>
      <c r="G16" s="138">
        <f t="shared" si="3"/>
        <v>14807175</v>
      </c>
      <c r="H16" s="138">
        <f>H5+H10</f>
        <v>13052416</v>
      </c>
      <c r="I16" s="199">
        <f>I5+I10</f>
        <v>18713000</v>
      </c>
    </row>
    <row r="17" spans="2:19" ht="15" customHeight="1">
      <c r="B17" s="211" t="s">
        <v>75</v>
      </c>
      <c r="C17" s="153"/>
      <c r="D17" s="155"/>
      <c r="E17" s="156"/>
      <c r="F17" s="156"/>
      <c r="G17" s="156"/>
      <c r="H17" s="212">
        <v>9839737</v>
      </c>
      <c r="I17" s="212">
        <v>2296693</v>
      </c>
      <c r="N17" s="48"/>
    </row>
    <row r="18" spans="2:19" ht="15" customHeight="1">
      <c r="B18" s="247" t="s">
        <v>70</v>
      </c>
      <c r="C18" s="248"/>
      <c r="D18" s="139">
        <f>IFERROR(D5/D$16,"N/A")</f>
        <v>1</v>
      </c>
      <c r="E18" s="139">
        <f t="shared" ref="E18:H18" si="4">IFERROR(E5/E$16,"N/A")</f>
        <v>1</v>
      </c>
      <c r="F18" s="139">
        <f t="shared" si="4"/>
        <v>0.46156952483510566</v>
      </c>
      <c r="G18" s="139">
        <f t="shared" si="4"/>
        <v>0.32465173133970526</v>
      </c>
      <c r="H18" s="140">
        <f t="shared" si="4"/>
        <v>0.31047248264229399</v>
      </c>
      <c r="I18" s="200">
        <f t="shared" ref="I18" si="5">IFERROR(I5/I$16,"N/A")</f>
        <v>0.22513760487361728</v>
      </c>
    </row>
    <row r="19" spans="2:19" ht="15" customHeight="1">
      <c r="B19" s="247" t="s">
        <v>71</v>
      </c>
      <c r="C19" s="248"/>
      <c r="D19" s="139">
        <f>IFERROR(D10/D$16,"N/A")</f>
        <v>0</v>
      </c>
      <c r="E19" s="139">
        <f t="shared" ref="E19:H19" si="6">IFERROR(E10/E$16,"N/A")</f>
        <v>0</v>
      </c>
      <c r="F19" s="139">
        <f t="shared" si="6"/>
        <v>0.53843047516489428</v>
      </c>
      <c r="G19" s="139">
        <f t="shared" si="6"/>
        <v>0.67534826866029474</v>
      </c>
      <c r="H19" s="140">
        <f t="shared" si="6"/>
        <v>0.68952751735770601</v>
      </c>
      <c r="I19" s="200">
        <f t="shared" ref="I19" si="7">IFERROR(I10/I$16,"N/A")</f>
        <v>0.77486239512638277</v>
      </c>
    </row>
    <row r="20" spans="2:19" ht="15" customHeight="1">
      <c r="B20" s="45" t="s">
        <v>72</v>
      </c>
      <c r="C20" s="46"/>
      <c r="D20" s="139" t="str">
        <f t="shared" ref="D20:G20" si="8">IFERROR((D16/C16)-1,"N/A")</f>
        <v>N/A</v>
      </c>
      <c r="E20" s="139">
        <f t="shared" si="8"/>
        <v>6.4220183486238591E-2</v>
      </c>
      <c r="F20" s="139">
        <f t="shared" si="8"/>
        <v>1.5617241379310345</v>
      </c>
      <c r="G20" s="139">
        <f t="shared" si="8"/>
        <v>-3.4207161125319185E-3</v>
      </c>
      <c r="H20" s="140">
        <f>IFERROR((H16/G16)-1,"N/A")</f>
        <v>-0.118507345256607</v>
      </c>
      <c r="I20" s="200">
        <f>IFERROR((I16/H16)-1,"N/A")</f>
        <v>0.43368093692386145</v>
      </c>
    </row>
    <row r="21" spans="2:19" ht="15" customHeight="1">
      <c r="B21" s="45" t="s">
        <v>73</v>
      </c>
      <c r="C21" s="46"/>
      <c r="D21" s="225">
        <f ca="1">IFERROR((IF(Q2=0,(S2/R2)^(1/1),IF(P2=0,(S2/Q2)^(1/2),IF(O2=0,(S2/P2)^(1/3),(S2/O2)^(1/4))))-1),0)</f>
        <v>0.24400922578390416</v>
      </c>
      <c r="E21" s="226"/>
      <c r="F21" s="226"/>
      <c r="G21" s="226"/>
      <c r="H21" s="226"/>
      <c r="I21" s="226"/>
    </row>
    <row r="27" spans="2:19">
      <c r="S27" s="194"/>
    </row>
  </sheetData>
  <mergeCells count="6">
    <mergeCell ref="B2:C4"/>
    <mergeCell ref="B16:C16"/>
    <mergeCell ref="B18:C18"/>
    <mergeCell ref="B19:C19"/>
    <mergeCell ref="D21:I21"/>
    <mergeCell ref="D2:I3"/>
  </mergeCells>
  <pageMargins left="0.7" right="0.7" top="0.75" bottom="0.75" header="0.3" footer="0.3"/>
  <pageSetup paperSize="9" scale="62" orientation="portrait" horizontalDpi="4294967292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B1:T24"/>
  <sheetViews>
    <sheetView showGridLines="0" workbookViewId="0">
      <selection activeCell="C24" sqref="C24"/>
    </sheetView>
  </sheetViews>
  <sheetFormatPr defaultColWidth="9.140625" defaultRowHeight="14.25"/>
  <cols>
    <col min="1" max="1" width="2.7109375" style="47" customWidth="1"/>
    <col min="2" max="2" width="4.140625" style="47" customWidth="1"/>
    <col min="3" max="3" width="34.7109375" style="47" customWidth="1"/>
    <col min="4" max="7" width="11.7109375" style="47" hidden="1" customWidth="1"/>
    <col min="8" max="8" width="17.42578125" style="47" customWidth="1"/>
    <col min="9" max="9" width="17.85546875" style="47" customWidth="1"/>
    <col min="10" max="11" width="2.7109375" style="47" customWidth="1"/>
    <col min="12" max="12" width="9.140625" style="47"/>
    <col min="13" max="13" width="2.7109375" style="47" customWidth="1"/>
    <col min="14" max="14" width="16" style="47" bestFit="1" customWidth="1"/>
    <col min="15" max="18" width="9.140625" style="47"/>
    <col min="19" max="19" width="18.7109375" style="47" bestFit="1" customWidth="1"/>
    <col min="20" max="16384" width="9.140625" style="47"/>
  </cols>
  <sheetData>
    <row r="1" spans="2:20" ht="24.95" customHeight="1">
      <c r="B1" s="47" t="s">
        <v>59</v>
      </c>
      <c r="E1" s="48"/>
      <c r="L1" s="49" t="s">
        <v>30</v>
      </c>
      <c r="N1" s="50"/>
      <c r="O1" s="51" t="str">
        <f ca="1">INDIRECT(SUBSTITUTE(ADDRESS(1,L4,4),"1","")&amp;4)</f>
        <v>TAHUN 2013</v>
      </c>
      <c r="P1" s="52" t="str">
        <f ca="1">INDIRECT(SUBSTITUTE(ADDRESS(1,L4+1,4),"1","")&amp;4)</f>
        <v>TAHUN 2014</v>
      </c>
      <c r="Q1" s="52" t="str">
        <f ca="1">INDIRECT(SUBSTITUTE(ADDRESS(1,L4+2,4),"1","")&amp;4)</f>
        <v>TAHUN 2015</v>
      </c>
      <c r="R1" s="52" t="str">
        <f ca="1">INDIRECT(SUBSTITUTE(ADDRESS(1,L4+3,4),"1","")&amp;4)</f>
        <v>TAHUN 2016</v>
      </c>
      <c r="S1" s="53" t="str">
        <f ca="1">INDIRECT(SUBSTITUTE(ADDRESS(1,L4+4,4),"1","")&amp;4)</f>
        <v>TAHUN 2017</v>
      </c>
    </row>
    <row r="2" spans="2:20" ht="15" customHeight="1">
      <c r="B2" s="235" t="s">
        <v>60</v>
      </c>
      <c r="C2" s="236"/>
      <c r="D2" s="219" t="s">
        <v>79</v>
      </c>
      <c r="E2" s="220"/>
      <c r="F2" s="220"/>
      <c r="G2" s="220"/>
      <c r="H2" s="220"/>
      <c r="I2" s="220"/>
      <c r="L2" s="60" t="s">
        <v>31</v>
      </c>
      <c r="N2" s="112" t="s">
        <v>62</v>
      </c>
      <c r="O2" s="113" t="e">
        <f ca="1">INDIRECT(SUBSTITUTE(ADDRESS(1,L4,4),"1","")&amp;CELL("row",#REF!))</f>
        <v>#REF!</v>
      </c>
      <c r="P2" s="113" t="e">
        <f ca="1">INDIRECT(SUBSTITUTE(ADDRESS(1,L4+1,4),"1","")&amp;CELL("row",#REF!))</f>
        <v>#REF!</v>
      </c>
      <c r="Q2" s="113" t="e">
        <f ca="1">INDIRECT(SUBSTITUTE(ADDRESS(1,L4+2,4),"1","")&amp;CELL("row",#REF!))</f>
        <v>#REF!</v>
      </c>
      <c r="R2" s="113" t="e">
        <f ca="1">INDIRECT(SUBSTITUTE(ADDRESS(1,L4+3,4),"1","")&amp;CELL("row",#REF!))</f>
        <v>#REF!</v>
      </c>
      <c r="S2" s="114" t="e">
        <f ca="1">INDIRECT(SUBSTITUTE(ADDRESS(1,L4+4,4),"1","")&amp;CELL("row",#REF!))</f>
        <v>#REF!</v>
      </c>
      <c r="T2" s="59" t="e">
        <f ca="1">MAX(O2:S2)+MAX(O2:S2)*40%</f>
        <v>#REF!</v>
      </c>
    </row>
    <row r="3" spans="2:20" ht="17.25" customHeight="1">
      <c r="B3" s="237"/>
      <c r="C3" s="238"/>
      <c r="D3" s="222"/>
      <c r="E3" s="223"/>
      <c r="F3" s="223"/>
      <c r="G3" s="223"/>
      <c r="H3" s="223"/>
      <c r="I3" s="223"/>
      <c r="L3" s="60" t="str">
        <f>SUBSTITUTE(ADDRESS(1,VALUE(LEFT(L2,4)-2013),4),"1","")</f>
        <v>D</v>
      </c>
      <c r="N3" s="50"/>
      <c r="O3" s="115"/>
      <c r="P3" s="115"/>
      <c r="Q3" s="115"/>
      <c r="R3" s="115"/>
      <c r="S3" s="115"/>
    </row>
    <row r="4" spans="2:20" ht="15" customHeight="1">
      <c r="B4" s="245"/>
      <c r="C4" s="246"/>
      <c r="D4" s="1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152" t="s">
        <v>74</v>
      </c>
      <c r="L4" s="65">
        <f ca="1">COLUMN(INDIRECT(L3&amp;"1"))</f>
        <v>4</v>
      </c>
    </row>
    <row r="5" spans="2:20" ht="15" customHeight="1">
      <c r="B5" s="116">
        <v>1</v>
      </c>
      <c r="C5" s="134" t="s">
        <v>78</v>
      </c>
      <c r="D5" s="118">
        <f>SUBTOTAL(109,D6:D9)</f>
        <v>5450000</v>
      </c>
      <c r="E5" s="119">
        <f t="shared" ref="E5:G5" si="0">SUBTOTAL(109,E6:E9)</f>
        <v>5800000</v>
      </c>
      <c r="F5" s="119">
        <f t="shared" si="0"/>
        <v>6858000</v>
      </c>
      <c r="G5" s="119">
        <f t="shared" si="0"/>
        <v>4807175</v>
      </c>
      <c r="H5" s="120">
        <f>SUBTOTAL(109,H6:H9)</f>
        <v>3832918</v>
      </c>
      <c r="I5" s="195">
        <f>SUBTOTAL(109,I6:I9)</f>
        <v>9352798</v>
      </c>
    </row>
    <row r="6" spans="2:20" ht="15" customHeight="1">
      <c r="B6" s="121"/>
      <c r="C6" s="9" t="s">
        <v>17</v>
      </c>
      <c r="D6" s="123">
        <v>3500000</v>
      </c>
      <c r="E6" s="124">
        <v>2200000</v>
      </c>
      <c r="F6" s="124">
        <v>2000000</v>
      </c>
      <c r="G6" s="124">
        <v>1283842</v>
      </c>
      <c r="H6" s="125">
        <v>0</v>
      </c>
      <c r="I6" s="196">
        <v>0</v>
      </c>
    </row>
    <row r="7" spans="2:20" ht="15" customHeight="1">
      <c r="B7" s="126"/>
      <c r="C7" s="31" t="s">
        <v>18</v>
      </c>
      <c r="D7" s="32">
        <v>1950000</v>
      </c>
      <c r="E7" s="34">
        <v>3600000</v>
      </c>
      <c r="F7" s="34">
        <v>2858000</v>
      </c>
      <c r="G7" s="34">
        <v>1523333</v>
      </c>
      <c r="H7" s="35">
        <v>1526363</v>
      </c>
      <c r="I7" s="185">
        <v>1837322</v>
      </c>
    </row>
    <row r="8" spans="2:20" ht="15" customHeight="1">
      <c r="B8" s="126"/>
      <c r="C8" s="31" t="s">
        <v>19</v>
      </c>
      <c r="D8" s="32">
        <v>0</v>
      </c>
      <c r="E8" s="34">
        <v>0</v>
      </c>
      <c r="F8" s="34">
        <v>2000000</v>
      </c>
      <c r="G8" s="34">
        <v>2000000</v>
      </c>
      <c r="H8" s="35">
        <v>2306555</v>
      </c>
      <c r="I8" s="185">
        <v>7515476</v>
      </c>
    </row>
    <row r="9" spans="2:20" ht="15" customHeight="1">
      <c r="B9" s="128"/>
      <c r="C9" s="16" t="s">
        <v>20</v>
      </c>
      <c r="D9" s="130">
        <v>0</v>
      </c>
      <c r="E9" s="131">
        <v>0</v>
      </c>
      <c r="F9" s="131">
        <v>0</v>
      </c>
      <c r="G9" s="131">
        <v>0</v>
      </c>
      <c r="H9" s="132">
        <v>0</v>
      </c>
      <c r="I9" s="197">
        <v>0</v>
      </c>
    </row>
    <row r="10" spans="2:20" ht="15" customHeight="1">
      <c r="B10" s="213">
        <v>2</v>
      </c>
      <c r="C10" s="214" t="s">
        <v>75</v>
      </c>
      <c r="D10" s="215">
        <f>SUBTOTAL(109,D11:D14)</f>
        <v>0</v>
      </c>
      <c r="E10" s="216">
        <f t="shared" ref="E10" si="1">SUBTOTAL(109,E11:E14)</f>
        <v>0</v>
      </c>
      <c r="F10" s="217">
        <f>SUBTOTAL(109,F11:F14)</f>
        <v>8000000</v>
      </c>
      <c r="G10" s="217">
        <f>SUBTOTAL(109,G11:G14)</f>
        <v>10000000</v>
      </c>
      <c r="H10" s="217">
        <f>SUBTOTAL(109,H11:H14)</f>
        <v>2176124</v>
      </c>
      <c r="I10" s="218">
        <f>SUBTOTAL(109,I11:I14)</f>
        <v>278995</v>
      </c>
    </row>
    <row r="11" spans="2:20" ht="15" customHeight="1">
      <c r="B11" s="121"/>
      <c r="C11" s="9" t="s">
        <v>17</v>
      </c>
      <c r="D11" s="123">
        <v>0</v>
      </c>
      <c r="E11" s="124">
        <v>0</v>
      </c>
      <c r="F11" s="124">
        <v>0</v>
      </c>
      <c r="G11" s="124">
        <v>0</v>
      </c>
      <c r="H11" s="125">
        <v>0</v>
      </c>
      <c r="I11" s="196">
        <v>0</v>
      </c>
    </row>
    <row r="12" spans="2:20" ht="15" customHeight="1">
      <c r="B12" s="126"/>
      <c r="C12" s="31" t="s">
        <v>18</v>
      </c>
      <c r="D12" s="32">
        <v>0</v>
      </c>
      <c r="E12" s="34">
        <v>0</v>
      </c>
      <c r="F12" s="34">
        <v>0</v>
      </c>
      <c r="G12" s="34">
        <v>0</v>
      </c>
      <c r="H12" s="35">
        <v>370566</v>
      </c>
      <c r="I12" s="185">
        <v>278995</v>
      </c>
    </row>
    <row r="13" spans="2:20" ht="15" customHeight="1">
      <c r="B13" s="126"/>
      <c r="C13" s="31" t="s">
        <v>19</v>
      </c>
      <c r="D13" s="32">
        <v>0</v>
      </c>
      <c r="E13" s="34">
        <v>0</v>
      </c>
      <c r="F13" s="34">
        <v>8000000</v>
      </c>
      <c r="G13" s="34">
        <v>10000000</v>
      </c>
      <c r="H13" s="35">
        <v>1805558</v>
      </c>
      <c r="I13" s="185">
        <v>0</v>
      </c>
    </row>
    <row r="14" spans="2:20" ht="15" customHeight="1">
      <c r="B14" s="128"/>
      <c r="C14" s="16" t="s">
        <v>20</v>
      </c>
      <c r="D14" s="130">
        <v>0</v>
      </c>
      <c r="E14" s="131">
        <v>0</v>
      </c>
      <c r="F14" s="131">
        <v>0</v>
      </c>
      <c r="G14" s="131">
        <v>0</v>
      </c>
      <c r="H14" s="132">
        <v>0</v>
      </c>
      <c r="I14" s="197">
        <v>0</v>
      </c>
    </row>
    <row r="15" spans="2:20" ht="15" customHeight="1">
      <c r="B15" s="247" t="s">
        <v>70</v>
      </c>
      <c r="C15" s="248"/>
      <c r="D15" s="139" t="str">
        <f>IFERROR(D5/#REF!,"N/A")</f>
        <v>N/A</v>
      </c>
      <c r="E15" s="139" t="str">
        <f>IFERROR(E5/#REF!,"N/A")</f>
        <v>N/A</v>
      </c>
      <c r="F15" s="139" t="str">
        <f>IFERROR(F5/#REF!,"N/A")</f>
        <v>N/A</v>
      </c>
      <c r="G15" s="139" t="str">
        <f>IFERROR(G5/#REF!,"N/A")</f>
        <v>N/A</v>
      </c>
      <c r="H15" s="140" t="str">
        <f>IFERROR(H5/#REF!,"N/A")</f>
        <v>N/A</v>
      </c>
      <c r="I15" s="200" t="str">
        <f>IFERROR(I5/#REF!,"N/A")</f>
        <v>N/A</v>
      </c>
    </row>
    <row r="16" spans="2:20" ht="15" customHeight="1">
      <c r="B16" s="247" t="s">
        <v>71</v>
      </c>
      <c r="C16" s="248"/>
      <c r="D16" s="139" t="str">
        <f>IFERROR(D10/#REF!,"N/A")</f>
        <v>N/A</v>
      </c>
      <c r="E16" s="139" t="str">
        <f>IFERROR(E10/#REF!,"N/A")</f>
        <v>N/A</v>
      </c>
      <c r="F16" s="139" t="str">
        <f>IFERROR(F10/#REF!,"N/A")</f>
        <v>N/A</v>
      </c>
      <c r="G16" s="139" t="str">
        <f>IFERROR(G10/#REF!,"N/A")</f>
        <v>N/A</v>
      </c>
      <c r="H16" s="140" t="str">
        <f>IFERROR(H10/#REF!,"N/A")</f>
        <v>N/A</v>
      </c>
      <c r="I16" s="200" t="str">
        <f>IFERROR(I10/#REF!,"N/A")</f>
        <v>N/A</v>
      </c>
    </row>
    <row r="17" spans="2:19" ht="15" customHeight="1">
      <c r="B17" s="45" t="s">
        <v>72</v>
      </c>
      <c r="C17" s="46"/>
      <c r="D17" s="139" t="str">
        <f>IFERROR((#REF!/#REF!)-1,"N/A")</f>
        <v>N/A</v>
      </c>
      <c r="E17" s="139" t="str">
        <f>IFERROR((#REF!/#REF!)-1,"N/A")</f>
        <v>N/A</v>
      </c>
      <c r="F17" s="139" t="str">
        <f>IFERROR((#REF!/#REF!)-1,"N/A")</f>
        <v>N/A</v>
      </c>
      <c r="G17" s="139" t="str">
        <f>IFERROR((#REF!/#REF!)-1,"N/A")</f>
        <v>N/A</v>
      </c>
      <c r="H17" s="140" t="str">
        <f>IFERROR((#REF!/#REF!)-1,"N/A")</f>
        <v>N/A</v>
      </c>
      <c r="I17" s="200" t="str">
        <f>IFERROR((#REF!/#REF!)-1,"N/A")</f>
        <v>N/A</v>
      </c>
    </row>
    <row r="18" spans="2:19" ht="15" customHeight="1">
      <c r="B18" s="45" t="s">
        <v>73</v>
      </c>
      <c r="C18" s="46"/>
      <c r="D18" s="225">
        <f ca="1">IFERROR((IF(Q2=0,(S2/R2)^(1/1),IF(P2=0,(S2/Q2)^(1/2),IF(O2=0,(S2/P2)^(1/3),(S2/O2)^(1/4))))-1),0)</f>
        <v>0</v>
      </c>
      <c r="E18" s="226"/>
      <c r="F18" s="226"/>
      <c r="G18" s="226"/>
      <c r="H18" s="226"/>
      <c r="I18" s="226"/>
    </row>
    <row r="24" spans="2:19">
      <c r="S24" s="194"/>
    </row>
  </sheetData>
  <mergeCells count="5">
    <mergeCell ref="B2:C4"/>
    <mergeCell ref="D2:I3"/>
    <mergeCell ref="B15:C15"/>
    <mergeCell ref="B16:C16"/>
    <mergeCell ref="D18:I18"/>
  </mergeCells>
  <pageMargins left="0.7" right="0.7" top="0.75" bottom="0.75" header="0.3" footer="0.3"/>
  <pageSetup paperSize="9" scale="62"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AD21"/>
  <sheetViews>
    <sheetView showGridLines="0" workbookViewId="0">
      <selection activeCell="D31" sqref="D31"/>
    </sheetView>
  </sheetViews>
  <sheetFormatPr defaultRowHeight="14.25"/>
  <cols>
    <col min="1" max="2" width="2.7109375" style="47" customWidth="1"/>
    <col min="3" max="3" width="41.5703125" style="47" customWidth="1"/>
    <col min="4" max="19" width="9.85546875" style="47" customWidth="1"/>
    <col min="20" max="20" width="13.28515625" style="47" customWidth="1"/>
    <col min="21" max="21" width="14.42578125" style="47" customWidth="1"/>
    <col min="22" max="22" width="16.85546875" style="47" customWidth="1"/>
    <col min="23" max="23" width="9.140625" style="47"/>
    <col min="24" max="24" width="2.7109375" style="47" customWidth="1"/>
    <col min="25" max="25" width="17.28515625" style="47" bestFit="1" customWidth="1"/>
    <col min="26" max="16384" width="9.140625" style="47"/>
  </cols>
  <sheetData>
    <row r="1" spans="2:30" ht="24.95" customHeight="1">
      <c r="B1" s="47" t="s">
        <v>35</v>
      </c>
      <c r="W1" s="49" t="s">
        <v>30</v>
      </c>
      <c r="Y1" s="77"/>
      <c r="Z1" s="51" t="str">
        <f ca="1">INDIRECT(SUBSTITUTE(ADDRESS(1,W4,4),"1","")&amp;3)</f>
        <v>TAHUN 2013</v>
      </c>
      <c r="AA1" s="52" t="str">
        <f ca="1">INDIRECT(SUBSTITUTE(ADDRESS(1,W4+2,4),"1","")&amp;3)</f>
        <v>TAHUN 2014</v>
      </c>
      <c r="AB1" s="52" t="str">
        <f ca="1">INDIRECT(SUBSTITUTE(ADDRESS(1,W4+4,4),"1","")&amp;3)</f>
        <v>TAHUN 2015</v>
      </c>
      <c r="AC1" s="52" t="str">
        <f ca="1">INDIRECT(SUBSTITUTE(ADDRESS(1,W4+6,4),"1","")&amp;3)</f>
        <v>TAHUN 2016</v>
      </c>
      <c r="AD1" s="53" t="str">
        <f ca="1">INDIRECT(SUBSTITUTE(ADDRESS(1,W4+8,4),"1","")&amp;3)</f>
        <v>TAHUN 2017</v>
      </c>
    </row>
    <row r="2" spans="2:30" ht="15.95" customHeight="1">
      <c r="B2" s="235" t="s">
        <v>0</v>
      </c>
      <c r="C2" s="236"/>
      <c r="D2" s="249" t="s">
        <v>36</v>
      </c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W2" s="60" t="str">
        <f>'[1]9.1'!N2</f>
        <v>2017/2018</v>
      </c>
      <c r="Y2" s="78" t="s">
        <v>37</v>
      </c>
      <c r="Z2" s="79">
        <f ca="1">INDIRECT(SUBSTITUTE(ADDRESS(1,W4,4),"1","")&amp;CELL("row",$B9))</f>
        <v>8781993</v>
      </c>
      <c r="AA2" s="79">
        <f ca="1">INDIRECT(SUBSTITUTE(ADDRESS(1,W4+2,4),"1","")&amp;CELL("row",$B9))</f>
        <v>13168290</v>
      </c>
      <c r="AB2" s="79">
        <f ca="1">INDIRECT(SUBSTITUTE(ADDRESS(1,W4+4,4),"1","")&amp;CELL("row",$B9))</f>
        <v>14054241</v>
      </c>
      <c r="AC2" s="79">
        <f ca="1">INDIRECT(SUBSTITUTE(ADDRESS(1,W4+6,4),"1","")&amp;CELL("row",$B9))</f>
        <v>14111460</v>
      </c>
      <c r="AD2" s="80">
        <f ca="1">INDIRECT(SUBSTITUTE(ADDRESS(1,W4+8,4),"1","")&amp;CELL("row",$B9))</f>
        <v>17095986</v>
      </c>
    </row>
    <row r="3" spans="2:30" ht="15.95" customHeight="1">
      <c r="B3" s="237"/>
      <c r="C3" s="238"/>
      <c r="D3" s="261" t="s">
        <v>2</v>
      </c>
      <c r="E3" s="262"/>
      <c r="F3" s="261" t="s">
        <v>3</v>
      </c>
      <c r="G3" s="262"/>
      <c r="H3" s="261" t="s">
        <v>4</v>
      </c>
      <c r="I3" s="262"/>
      <c r="J3" s="261" t="s">
        <v>5</v>
      </c>
      <c r="K3" s="262"/>
      <c r="L3" s="261" t="s">
        <v>6</v>
      </c>
      <c r="M3" s="262"/>
      <c r="N3" s="261" t="s">
        <v>7</v>
      </c>
      <c r="O3" s="262"/>
      <c r="P3" s="261" t="s">
        <v>8</v>
      </c>
      <c r="Q3" s="262"/>
      <c r="R3" s="261" t="s">
        <v>9</v>
      </c>
      <c r="S3" s="263"/>
      <c r="T3" s="252" t="s">
        <v>74</v>
      </c>
      <c r="U3" s="253"/>
      <c r="V3" s="151"/>
      <c r="W3" s="60" t="str">
        <f>SUBSTITUTE(ADDRESS(1,VALUE(LEFT(W2,4)-2013)*2+2,4),"1","")</f>
        <v>J</v>
      </c>
      <c r="Y3" s="81" t="s">
        <v>38</v>
      </c>
      <c r="Z3" s="82">
        <f ca="1">INDIRECT(SUBSTITUTE(ADDRESS(1,W4+1,4),"1","")&amp;CELL("row",$B9))</f>
        <v>9984982</v>
      </c>
      <c r="AA3" s="82">
        <f ca="1">INDIRECT(SUBSTITUTE(ADDRESS(1,W4+3,4),"1","")&amp;CELL("row",$B9))</f>
        <v>14480296</v>
      </c>
      <c r="AB3" s="82">
        <f ca="1">INDIRECT(SUBSTITUTE(ADDRESS(1,W4+5,4),"1","")&amp;CELL("row",$B9))</f>
        <v>19501610</v>
      </c>
      <c r="AC3" s="82">
        <f ca="1">INDIRECT(SUBSTITUTE(ADDRESS(1,W4+7,4),"1","")&amp;CELL("row",$B9))</f>
        <v>23414414</v>
      </c>
      <c r="AD3" s="83">
        <f ca="1">INDIRECT(SUBSTITUTE(ADDRESS(1,W4+9,4),"1","")&amp;CELL("row",$B9))</f>
        <v>17498787</v>
      </c>
    </row>
    <row r="4" spans="2:30" ht="15.95" customHeight="1">
      <c r="B4" s="237"/>
      <c r="C4" s="237"/>
      <c r="D4" s="84" t="s">
        <v>39</v>
      </c>
      <c r="E4" s="85" t="s">
        <v>40</v>
      </c>
      <c r="F4" s="84" t="s">
        <v>39</v>
      </c>
      <c r="G4" s="85" t="s">
        <v>40</v>
      </c>
      <c r="H4" s="84" t="s">
        <v>39</v>
      </c>
      <c r="I4" s="85" t="s">
        <v>40</v>
      </c>
      <c r="J4" s="84" t="s">
        <v>39</v>
      </c>
      <c r="K4" s="85" t="s">
        <v>40</v>
      </c>
      <c r="L4" s="84" t="s">
        <v>39</v>
      </c>
      <c r="M4" s="85" t="s">
        <v>40</v>
      </c>
      <c r="N4" s="84" t="s">
        <v>39</v>
      </c>
      <c r="O4" s="85" t="s">
        <v>40</v>
      </c>
      <c r="P4" s="84" t="s">
        <v>39</v>
      </c>
      <c r="Q4" s="85" t="s">
        <v>40</v>
      </c>
      <c r="R4" s="84" t="s">
        <v>39</v>
      </c>
      <c r="S4" s="86" t="s">
        <v>40</v>
      </c>
      <c r="T4" s="84" t="s">
        <v>39</v>
      </c>
      <c r="U4" s="86" t="s">
        <v>40</v>
      </c>
      <c r="V4" s="150"/>
      <c r="W4" s="65">
        <f ca="1">COLUMN(INDIRECT(W3&amp;"1"))</f>
        <v>10</v>
      </c>
      <c r="Y4" s="87" t="s">
        <v>41</v>
      </c>
      <c r="Z4" s="88">
        <f ca="1">INDIRECT(SUBSTITUTE(ADDRESS(1,W4+1,4),"1","")&amp;CELL("row",$B18))</f>
        <v>8345198</v>
      </c>
      <c r="AA4" s="88">
        <f ca="1">INDIRECT(SUBSTITUTE(ADDRESS(1,W4+3,4),"1","")&amp;CELL("row",$B18))</f>
        <v>10292855</v>
      </c>
      <c r="AB4" s="88">
        <f ca="1">INDIRECT(SUBSTITUTE(ADDRESS(1,W4+5,4),"1","")&amp;CELL("row",$B18))</f>
        <v>11106987</v>
      </c>
      <c r="AC4" s="88">
        <f ca="1">INDIRECT(SUBSTITUTE(ADDRESS(1,W4+7,4),"1","")&amp;CELL("row",$B18))</f>
        <v>13563369</v>
      </c>
      <c r="AD4" s="89">
        <f ca="1">INDIRECT(SUBSTITUTE(ADDRESS(1,W4+9,4),"1","")&amp;CELL("row",$B18))</f>
        <v>17498787</v>
      </c>
    </row>
    <row r="5" spans="2:30" ht="15.95" customHeight="1">
      <c r="B5" s="259" t="s">
        <v>42</v>
      </c>
      <c r="C5" s="259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151"/>
    </row>
    <row r="6" spans="2:30" ht="15.95" customHeight="1">
      <c r="B6" s="91"/>
      <c r="C6" s="92" t="s">
        <v>43</v>
      </c>
      <c r="D6" s="12">
        <v>5195650</v>
      </c>
      <c r="E6" s="93">
        <v>4962400</v>
      </c>
      <c r="F6" s="12">
        <v>5827932</v>
      </c>
      <c r="G6" s="93">
        <v>5270123</v>
      </c>
      <c r="H6" s="12">
        <v>6386300</v>
      </c>
      <c r="I6" s="93">
        <v>6554000</v>
      </c>
      <c r="J6" s="12">
        <v>5278250</v>
      </c>
      <c r="K6" s="93">
        <v>4120250</v>
      </c>
      <c r="L6" s="12">
        <v>7145650</v>
      </c>
      <c r="M6" s="93">
        <v>5950850</v>
      </c>
      <c r="N6" s="12">
        <v>11360150</v>
      </c>
      <c r="O6" s="93">
        <v>11501610</v>
      </c>
      <c r="P6" s="12">
        <v>8100800</v>
      </c>
      <c r="Q6" s="93">
        <v>13414414</v>
      </c>
      <c r="R6" s="12">
        <v>16900558</v>
      </c>
      <c r="S6" s="94">
        <v>17147344</v>
      </c>
      <c r="T6" s="207">
        <v>14767700</v>
      </c>
      <c r="U6" s="208">
        <v>11881826</v>
      </c>
      <c r="V6" s="141"/>
    </row>
    <row r="7" spans="2:30" ht="15.95" customHeight="1">
      <c r="B7" s="95"/>
      <c r="C7" s="14" t="s">
        <v>44</v>
      </c>
      <c r="D7" s="96">
        <v>218500</v>
      </c>
      <c r="E7" s="97">
        <v>262600</v>
      </c>
      <c r="F7" s="96">
        <v>227898</v>
      </c>
      <c r="G7" s="97">
        <v>339300</v>
      </c>
      <c r="H7" s="96">
        <v>312500</v>
      </c>
      <c r="I7" s="97">
        <v>374500</v>
      </c>
      <c r="J7" s="96">
        <v>350000</v>
      </c>
      <c r="K7" s="97">
        <v>0</v>
      </c>
      <c r="L7" s="96">
        <v>0</v>
      </c>
      <c r="M7" s="97">
        <v>0</v>
      </c>
      <c r="N7" s="96">
        <v>0</v>
      </c>
      <c r="O7" s="97">
        <v>0</v>
      </c>
      <c r="P7" s="96"/>
      <c r="Q7" s="97">
        <v>0</v>
      </c>
      <c r="R7" s="96">
        <v>0</v>
      </c>
      <c r="S7" s="98">
        <v>0</v>
      </c>
      <c r="T7" s="209">
        <v>300000</v>
      </c>
      <c r="U7" s="210">
        <v>0</v>
      </c>
      <c r="V7" s="141"/>
    </row>
    <row r="8" spans="2:30" ht="15.95" customHeight="1">
      <c r="B8" s="95"/>
      <c r="C8" s="99" t="s">
        <v>45</v>
      </c>
      <c r="D8" s="19">
        <v>1498127</v>
      </c>
      <c r="E8" s="100">
        <v>1322142</v>
      </c>
      <c r="F8" s="19">
        <v>1413784</v>
      </c>
      <c r="G8" s="100">
        <v>1954584</v>
      </c>
      <c r="H8" s="19">
        <v>2376008</v>
      </c>
      <c r="I8" s="100">
        <v>2671561</v>
      </c>
      <c r="J8" s="19">
        <v>3153743</v>
      </c>
      <c r="K8" s="100">
        <v>5864732</v>
      </c>
      <c r="L8" s="19">
        <f>6146764-124124</f>
        <v>6022640</v>
      </c>
      <c r="M8" s="100">
        <v>8529446</v>
      </c>
      <c r="N8" s="19">
        <v>2694091</v>
      </c>
      <c r="O8" s="100">
        <v>8000000</v>
      </c>
      <c r="P8" s="19">
        <f>6153200-142540</f>
        <v>6010660</v>
      </c>
      <c r="Q8" s="100">
        <v>10000000</v>
      </c>
      <c r="R8" s="19">
        <v>195428</v>
      </c>
      <c r="S8" s="101">
        <v>351443</v>
      </c>
      <c r="T8" s="203">
        <v>100000</v>
      </c>
      <c r="U8" s="204">
        <v>36719</v>
      </c>
      <c r="V8" s="141"/>
    </row>
    <row r="9" spans="2:30" ht="15.95" customHeight="1">
      <c r="B9" s="102"/>
      <c r="C9" s="103" t="s">
        <v>46</v>
      </c>
      <c r="D9" s="104">
        <f t="shared" ref="D9:S9" si="0">SUM(D6:D8)</f>
        <v>6912277</v>
      </c>
      <c r="E9" s="105">
        <f t="shared" si="0"/>
        <v>6547142</v>
      </c>
      <c r="F9" s="104">
        <f t="shared" si="0"/>
        <v>7469614</v>
      </c>
      <c r="G9" s="105">
        <f t="shared" si="0"/>
        <v>7564007</v>
      </c>
      <c r="H9" s="104">
        <f t="shared" si="0"/>
        <v>9074808</v>
      </c>
      <c r="I9" s="105">
        <f t="shared" si="0"/>
        <v>9600061</v>
      </c>
      <c r="J9" s="104">
        <f t="shared" si="0"/>
        <v>8781993</v>
      </c>
      <c r="K9" s="105">
        <f t="shared" si="0"/>
        <v>9984982</v>
      </c>
      <c r="L9" s="104">
        <f t="shared" si="0"/>
        <v>13168290</v>
      </c>
      <c r="M9" s="105">
        <f t="shared" si="0"/>
        <v>14480296</v>
      </c>
      <c r="N9" s="104">
        <f t="shared" si="0"/>
        <v>14054241</v>
      </c>
      <c r="O9" s="105">
        <f t="shared" si="0"/>
        <v>19501610</v>
      </c>
      <c r="P9" s="104">
        <f t="shared" si="0"/>
        <v>14111460</v>
      </c>
      <c r="Q9" s="105">
        <f t="shared" si="0"/>
        <v>23414414</v>
      </c>
      <c r="R9" s="104">
        <f t="shared" si="0"/>
        <v>17095986</v>
      </c>
      <c r="S9" s="106">
        <f t="shared" si="0"/>
        <v>17498787</v>
      </c>
      <c r="T9" s="205">
        <f t="shared" ref="T9:U9" si="1">SUM(T6:T8)</f>
        <v>15167700</v>
      </c>
      <c r="U9" s="206">
        <f t="shared" si="1"/>
        <v>11918545</v>
      </c>
      <c r="V9" s="143"/>
    </row>
    <row r="10" spans="2:30" ht="15.95" customHeight="1">
      <c r="B10" s="102"/>
      <c r="C10" s="103" t="s">
        <v>47</v>
      </c>
      <c r="D10" s="250">
        <f>IFERROR(E9/D9,0)</f>
        <v>0.94717587272616532</v>
      </c>
      <c r="E10" s="260"/>
      <c r="F10" s="250">
        <f t="shared" ref="F10" si="2">IFERROR(G9/F9,0)</f>
        <v>1.0126369314398307</v>
      </c>
      <c r="G10" s="260"/>
      <c r="H10" s="250">
        <f t="shared" ref="H10" si="3">IFERROR(I9/H9,0)</f>
        <v>1.0578803430331529</v>
      </c>
      <c r="I10" s="260"/>
      <c r="J10" s="250">
        <f t="shared" ref="J10" si="4">IFERROR(K9/J9,0)</f>
        <v>1.136983598142244</v>
      </c>
      <c r="K10" s="260"/>
      <c r="L10" s="250">
        <f t="shared" ref="L10" si="5">IFERROR(M9/L9,0)</f>
        <v>1.0996337413589767</v>
      </c>
      <c r="M10" s="260"/>
      <c r="N10" s="250">
        <f t="shared" ref="N10" si="6">IFERROR(O9/N9,0)</f>
        <v>1.3875960999957238</v>
      </c>
      <c r="O10" s="260"/>
      <c r="P10" s="250">
        <f t="shared" ref="P10" si="7">IFERROR(Q9/P9,0)</f>
        <v>1.6592481571715472</v>
      </c>
      <c r="Q10" s="260"/>
      <c r="R10" s="250">
        <f t="shared" ref="R10" si="8">IFERROR(S9/R9,0)</f>
        <v>1.0235611447037918</v>
      </c>
      <c r="S10" s="251"/>
      <c r="T10" s="254">
        <f t="shared" ref="T10" si="9">IFERROR(U9/T9,0)</f>
        <v>0.78578459489573238</v>
      </c>
      <c r="U10" s="255"/>
      <c r="V10" s="148"/>
    </row>
    <row r="11" spans="2:30" ht="15.95" customHeight="1">
      <c r="B11" s="102"/>
      <c r="C11" s="107" t="s">
        <v>48</v>
      </c>
      <c r="D11" s="257" t="str">
        <f t="shared" ref="D11" si="10">IFERROR((E9/C9)-1,"N/A")</f>
        <v>N/A</v>
      </c>
      <c r="E11" s="257"/>
      <c r="F11" s="257">
        <f t="shared" ref="F11" si="11">IFERROR((G9/E9)-1,"N/A")</f>
        <v>0.15531433410181106</v>
      </c>
      <c r="G11" s="257"/>
      <c r="H11" s="257">
        <f t="shared" ref="H11" si="12">IFERROR((I9/G9)-1,"N/A")</f>
        <v>0.26917664142827991</v>
      </c>
      <c r="I11" s="257"/>
      <c r="J11" s="257">
        <f t="shared" ref="J11" si="13">IFERROR((K9/I9)-1,"N/A")</f>
        <v>4.0095682725349358E-2</v>
      </c>
      <c r="K11" s="257"/>
      <c r="L11" s="257">
        <f t="shared" ref="L11" si="14">IFERROR((M9/K9)-1,"N/A")</f>
        <v>0.45020752165602307</v>
      </c>
      <c r="M11" s="257"/>
      <c r="N11" s="257">
        <f t="shared" ref="N11" si="15">IFERROR((O9/M9)-1,"N/A")</f>
        <v>0.34676874008652869</v>
      </c>
      <c r="O11" s="257"/>
      <c r="P11" s="257">
        <f t="shared" ref="P11" si="16">IFERROR((Q9/O9)-1,"N/A")</f>
        <v>0.20064004971897198</v>
      </c>
      <c r="Q11" s="257"/>
      <c r="R11" s="257">
        <f>IFERROR((S9/Q9)-1,"N/A")</f>
        <v>-0.25264894521810366</v>
      </c>
      <c r="S11" s="258"/>
      <c r="T11" s="256">
        <f>IFERROR((U9/S9)-1,"N/A")</f>
        <v>-0.31889307527430333</v>
      </c>
      <c r="U11" s="254"/>
      <c r="V11" s="149"/>
    </row>
    <row r="12" spans="2:30" ht="15.95" customHeight="1">
      <c r="B12" s="102"/>
      <c r="C12" s="107" t="s">
        <v>49</v>
      </c>
      <c r="D12" s="250">
        <f ca="1">(IF(AB3=0,(AD3/AC3)^(1/1),IF(AA3=0,(AD3/AB3)^(1/2),IF(Z3=0,(AD3/AA3)^(1/3),(AD3/Z3)^(1/4))))-1)</f>
        <v>0.15057561279988052</v>
      </c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30" ht="15.95" customHeight="1">
      <c r="B13" s="259" t="s">
        <v>50</v>
      </c>
      <c r="C13" s="259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</row>
    <row r="14" spans="2:30" ht="15.95" customHeight="1">
      <c r="B14" s="91"/>
      <c r="C14" s="108" t="s">
        <v>51</v>
      </c>
      <c r="D14" s="12">
        <v>0</v>
      </c>
      <c r="E14" s="93">
        <v>0</v>
      </c>
      <c r="F14" s="12">
        <v>0</v>
      </c>
      <c r="G14" s="93">
        <v>0</v>
      </c>
      <c r="H14" s="12">
        <v>0</v>
      </c>
      <c r="I14" s="93">
        <v>0</v>
      </c>
      <c r="J14" s="12">
        <v>0</v>
      </c>
      <c r="K14" s="93">
        <v>0</v>
      </c>
      <c r="L14" s="12">
        <v>0</v>
      </c>
      <c r="M14" s="93">
        <v>0</v>
      </c>
      <c r="N14" s="12">
        <v>0</v>
      </c>
      <c r="O14" s="93">
        <v>0</v>
      </c>
      <c r="P14" s="12">
        <v>0</v>
      </c>
      <c r="Q14" s="93">
        <v>0</v>
      </c>
      <c r="R14" s="12">
        <v>0</v>
      </c>
      <c r="S14" s="94">
        <v>0</v>
      </c>
      <c r="T14" s="12">
        <v>0</v>
      </c>
      <c r="U14" s="94">
        <v>0</v>
      </c>
    </row>
    <row r="15" spans="2:30" ht="15.95" customHeight="1">
      <c r="B15" s="95"/>
      <c r="C15" s="31" t="s">
        <v>52</v>
      </c>
      <c r="D15" s="34">
        <v>6912277</v>
      </c>
      <c r="E15" s="109">
        <v>6442120</v>
      </c>
      <c r="F15" s="34">
        <v>7469614</v>
      </c>
      <c r="G15" s="109">
        <v>7028097</v>
      </c>
      <c r="H15" s="34">
        <v>9074808</v>
      </c>
      <c r="I15" s="109">
        <v>8006978</v>
      </c>
      <c r="J15" s="34">
        <v>8781993</v>
      </c>
      <c r="K15" s="109">
        <v>8345198</v>
      </c>
      <c r="L15" s="34">
        <v>13168290</v>
      </c>
      <c r="M15" s="109">
        <v>10292855</v>
      </c>
      <c r="N15" s="34">
        <v>14054241</v>
      </c>
      <c r="O15" s="109">
        <v>11106987</v>
      </c>
      <c r="P15" s="34">
        <v>14111460</v>
      </c>
      <c r="Q15" s="109">
        <v>13563369</v>
      </c>
      <c r="R15" s="34">
        <v>17095986</v>
      </c>
      <c r="S15" s="110">
        <v>17498787</v>
      </c>
      <c r="T15" s="201">
        <f>15016023-T16</f>
        <v>13271595</v>
      </c>
      <c r="U15" s="202">
        <f>U9-U16</f>
        <v>9791676</v>
      </c>
    </row>
    <row r="16" spans="2:30" ht="15.95" customHeight="1">
      <c r="B16" s="95"/>
      <c r="C16" s="31" t="s">
        <v>53</v>
      </c>
      <c r="D16" s="34">
        <v>0</v>
      </c>
      <c r="E16" s="109">
        <v>0</v>
      </c>
      <c r="F16" s="34">
        <v>0</v>
      </c>
      <c r="G16" s="109">
        <v>0</v>
      </c>
      <c r="H16" s="34">
        <v>0</v>
      </c>
      <c r="I16" s="109">
        <v>0</v>
      </c>
      <c r="J16" s="34">
        <v>0</v>
      </c>
      <c r="K16" s="109">
        <v>0</v>
      </c>
      <c r="L16" s="34">
        <v>0</v>
      </c>
      <c r="M16" s="109">
        <v>0</v>
      </c>
      <c r="N16" s="34">
        <v>0</v>
      </c>
      <c r="O16" s="109">
        <v>0</v>
      </c>
      <c r="P16" s="34">
        <v>0</v>
      </c>
      <c r="Q16" s="109">
        <v>0</v>
      </c>
      <c r="R16" s="34">
        <v>0</v>
      </c>
      <c r="S16" s="110">
        <v>0</v>
      </c>
      <c r="T16" s="201">
        <v>1744428</v>
      </c>
      <c r="U16" s="202">
        <v>2126869</v>
      </c>
    </row>
    <row r="17" spans="2:21" ht="15.95" customHeight="1">
      <c r="B17" s="95"/>
      <c r="C17" s="111" t="s">
        <v>54</v>
      </c>
      <c r="D17" s="19">
        <v>0</v>
      </c>
      <c r="E17" s="100">
        <v>0</v>
      </c>
      <c r="F17" s="19">
        <v>0</v>
      </c>
      <c r="G17" s="100">
        <v>0</v>
      </c>
      <c r="H17" s="19">
        <v>0</v>
      </c>
      <c r="I17" s="100">
        <v>0</v>
      </c>
      <c r="J17" s="19">
        <v>0</v>
      </c>
      <c r="K17" s="100">
        <v>0</v>
      </c>
      <c r="L17" s="19">
        <v>0</v>
      </c>
      <c r="M17" s="100">
        <v>0</v>
      </c>
      <c r="N17" s="19">
        <v>0</v>
      </c>
      <c r="O17" s="100">
        <v>0</v>
      </c>
      <c r="P17" s="19">
        <v>0</v>
      </c>
      <c r="Q17" s="100">
        <v>0</v>
      </c>
      <c r="R17" s="19">
        <v>0</v>
      </c>
      <c r="S17" s="101">
        <v>0</v>
      </c>
      <c r="T17" s="203">
        <v>0</v>
      </c>
      <c r="U17" s="204">
        <v>0</v>
      </c>
    </row>
    <row r="18" spans="2:21" ht="15.95" customHeight="1">
      <c r="B18" s="102"/>
      <c r="C18" s="103" t="s">
        <v>55</v>
      </c>
      <c r="D18" s="104">
        <f t="shared" ref="D18:S18" si="17">SUM(D14:D17)</f>
        <v>6912277</v>
      </c>
      <c r="E18" s="105">
        <f t="shared" si="17"/>
        <v>6442120</v>
      </c>
      <c r="F18" s="104">
        <f t="shared" si="17"/>
        <v>7469614</v>
      </c>
      <c r="G18" s="105">
        <f t="shared" si="17"/>
        <v>7028097</v>
      </c>
      <c r="H18" s="104">
        <f t="shared" si="17"/>
        <v>9074808</v>
      </c>
      <c r="I18" s="105">
        <f t="shared" si="17"/>
        <v>8006978</v>
      </c>
      <c r="J18" s="104">
        <f t="shared" si="17"/>
        <v>8781993</v>
      </c>
      <c r="K18" s="105">
        <f t="shared" si="17"/>
        <v>8345198</v>
      </c>
      <c r="L18" s="104">
        <f t="shared" si="17"/>
        <v>13168290</v>
      </c>
      <c r="M18" s="105">
        <f t="shared" si="17"/>
        <v>10292855</v>
      </c>
      <c r="N18" s="104">
        <f t="shared" si="17"/>
        <v>14054241</v>
      </c>
      <c r="O18" s="105">
        <f t="shared" si="17"/>
        <v>11106987</v>
      </c>
      <c r="P18" s="104">
        <f t="shared" si="17"/>
        <v>14111460</v>
      </c>
      <c r="Q18" s="105">
        <f t="shared" si="17"/>
        <v>13563369</v>
      </c>
      <c r="R18" s="104">
        <f t="shared" si="17"/>
        <v>17095986</v>
      </c>
      <c r="S18" s="106">
        <f t="shared" si="17"/>
        <v>17498787</v>
      </c>
      <c r="T18" s="205">
        <f t="shared" ref="T18:U18" si="18">SUM(T14:T17)</f>
        <v>15016023</v>
      </c>
      <c r="U18" s="206">
        <f t="shared" si="18"/>
        <v>11918545</v>
      </c>
    </row>
    <row r="19" spans="2:21" ht="15.95" customHeight="1">
      <c r="B19" s="102"/>
      <c r="C19" s="103" t="s">
        <v>56</v>
      </c>
      <c r="D19" s="250">
        <f>IFERROR(E18/D18,0)</f>
        <v>0.93198232651845403</v>
      </c>
      <c r="E19" s="260"/>
      <c r="F19" s="250">
        <f t="shared" ref="F19" si="19">IFERROR(G18/F18,0)</f>
        <v>0.94089159091754937</v>
      </c>
      <c r="G19" s="260"/>
      <c r="H19" s="250">
        <f t="shared" ref="H19" si="20">IFERROR(I18/H18,0)</f>
        <v>0.88233029282823394</v>
      </c>
      <c r="I19" s="260"/>
      <c r="J19" s="250">
        <f t="shared" ref="J19" si="21">IFERROR(K18/J18,0)</f>
        <v>0.95026242904087943</v>
      </c>
      <c r="K19" s="260"/>
      <c r="L19" s="250">
        <f t="shared" ref="L19" si="22">IFERROR(M18/L18,0)</f>
        <v>0.78163945356610465</v>
      </c>
      <c r="M19" s="260"/>
      <c r="N19" s="250">
        <f t="shared" ref="N19" si="23">IFERROR(O18/N18,0)</f>
        <v>0.79029433179635955</v>
      </c>
      <c r="O19" s="260"/>
      <c r="P19" s="250">
        <f t="shared" ref="P19" si="24">IFERROR(Q18/P18,0)</f>
        <v>0.96115986581119173</v>
      </c>
      <c r="Q19" s="260"/>
      <c r="R19" s="250">
        <f t="shared" ref="R19" si="25">IFERROR(S18/R18,0)</f>
        <v>1.0235611447037918</v>
      </c>
      <c r="S19" s="251"/>
      <c r="T19" s="250">
        <f t="shared" ref="T19" si="26">IFERROR(U18/T18,0)</f>
        <v>0.79372181302599232</v>
      </c>
      <c r="U19" s="251"/>
    </row>
    <row r="20" spans="2:21" ht="15.95" customHeight="1">
      <c r="B20" s="102"/>
      <c r="C20" s="107" t="s">
        <v>57</v>
      </c>
      <c r="D20" s="257" t="str">
        <f t="shared" ref="D20" si="27">IFERROR((E18/C18)-1,"N/A")</f>
        <v>N/A</v>
      </c>
      <c r="E20" s="257"/>
      <c r="F20" s="257">
        <f t="shared" ref="F20" si="28">IFERROR((G18/E18)-1,"N/A")</f>
        <v>9.0960273947085835E-2</v>
      </c>
      <c r="G20" s="257"/>
      <c r="H20" s="257">
        <f t="shared" ref="H20" si="29">IFERROR((I18/G18)-1,"N/A")</f>
        <v>0.13928108846534126</v>
      </c>
      <c r="I20" s="257"/>
      <c r="J20" s="257">
        <f t="shared" ref="J20" si="30">IFERROR((K18/I18)-1,"N/A")</f>
        <v>4.2240655588163145E-2</v>
      </c>
      <c r="K20" s="257"/>
      <c r="L20" s="257">
        <f t="shared" ref="L20" si="31">IFERROR((M18/K18)-1,"N/A")</f>
        <v>0.23338655356050264</v>
      </c>
      <c r="M20" s="257"/>
      <c r="N20" s="257">
        <f t="shared" ref="N20" si="32">IFERROR((O18/M18)-1,"N/A")</f>
        <v>7.9096810360196557E-2</v>
      </c>
      <c r="O20" s="257"/>
      <c r="P20" s="257">
        <f t="shared" ref="P20" si="33">IFERROR((Q18/O18)-1,"N/A")</f>
        <v>0.22115646664572486</v>
      </c>
      <c r="Q20" s="257"/>
      <c r="R20" s="257">
        <f>IFERROR((S18/Q18)-1,"N/A")</f>
        <v>0.29015047810024197</v>
      </c>
      <c r="S20" s="258"/>
      <c r="T20" s="257">
        <f>IFERROR((U18/S18)-1,"N/A")</f>
        <v>-0.31889307527430333</v>
      </c>
      <c r="U20" s="258"/>
    </row>
    <row r="21" spans="2:21" ht="15.95" customHeight="1">
      <c r="B21" s="102"/>
      <c r="C21" s="107" t="s">
        <v>58</v>
      </c>
      <c r="D21" s="250">
        <f ca="1">(IF(AB4=0,(AD4/AC4)^(1/1),IF(AA4=0,(AD4/AB4)^(1/2),IF(Z4=0,(AD4/AA4)^(1/3),(AD4/Z4)^(1/4))))-1)</f>
        <v>0.20335239004845351</v>
      </c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</row>
  </sheetData>
  <mergeCells count="51">
    <mergeCell ref="L3:M3"/>
    <mergeCell ref="N3:O3"/>
    <mergeCell ref="P3:Q3"/>
    <mergeCell ref="R3:S3"/>
    <mergeCell ref="B2:C4"/>
    <mergeCell ref="D3:E3"/>
    <mergeCell ref="F3:G3"/>
    <mergeCell ref="H3:I3"/>
    <mergeCell ref="J3:K3"/>
    <mergeCell ref="B5:C5"/>
    <mergeCell ref="D10:E10"/>
    <mergeCell ref="F10:G10"/>
    <mergeCell ref="H10:I10"/>
    <mergeCell ref="J10:K10"/>
    <mergeCell ref="N10:O10"/>
    <mergeCell ref="P10:Q10"/>
    <mergeCell ref="R10:S10"/>
    <mergeCell ref="D11:E11"/>
    <mergeCell ref="F11:G11"/>
    <mergeCell ref="H11:I11"/>
    <mergeCell ref="J11:K11"/>
    <mergeCell ref="L11:M11"/>
    <mergeCell ref="N11:O11"/>
    <mergeCell ref="P11:Q11"/>
    <mergeCell ref="L10:M10"/>
    <mergeCell ref="R11:S11"/>
    <mergeCell ref="D12:S12"/>
    <mergeCell ref="B13:C13"/>
    <mergeCell ref="D19:E19"/>
    <mergeCell ref="F19:G19"/>
    <mergeCell ref="H19:I19"/>
    <mergeCell ref="J19:K19"/>
    <mergeCell ref="L19:M19"/>
    <mergeCell ref="N19:O19"/>
    <mergeCell ref="P19:Q19"/>
    <mergeCell ref="D2:U2"/>
    <mergeCell ref="D21:U21"/>
    <mergeCell ref="T3:U3"/>
    <mergeCell ref="T10:U10"/>
    <mergeCell ref="T11:U11"/>
    <mergeCell ref="T19:U19"/>
    <mergeCell ref="T20:U20"/>
    <mergeCell ref="R19:S19"/>
    <mergeCell ref="D20:E20"/>
    <mergeCell ref="F20:G20"/>
    <mergeCell ref="H20:I20"/>
    <mergeCell ref="J20:K20"/>
    <mergeCell ref="L20:M20"/>
    <mergeCell ref="N20:O20"/>
    <mergeCell ref="P20:Q20"/>
    <mergeCell ref="R20:S20"/>
  </mergeCells>
  <pageMargins left="0.7" right="0.7" top="0.75" bottom="0.75" header="0.3" footer="0.3"/>
  <pageSetup paperSize="9" scale="41" orientation="portrait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K21"/>
  <sheetViews>
    <sheetView workbookViewId="0">
      <selection activeCell="F35" sqref="F35"/>
    </sheetView>
  </sheetViews>
  <sheetFormatPr defaultRowHeight="15"/>
  <cols>
    <col min="1" max="1" width="4.85546875" customWidth="1"/>
    <col min="10" max="11" width="12.7109375" bestFit="1" customWidth="1"/>
  </cols>
  <sheetData>
    <row r="1" spans="1:11">
      <c r="A1" t="s">
        <v>0</v>
      </c>
      <c r="D1" t="s">
        <v>1</v>
      </c>
    </row>
    <row r="3" spans="1:11"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</row>
    <row r="4" spans="1:11">
      <c r="A4">
        <v>1</v>
      </c>
      <c r="B4" t="s">
        <v>10</v>
      </c>
    </row>
    <row r="5" spans="1:11">
      <c r="B5">
        <v>1</v>
      </c>
      <c r="C5" t="s">
        <v>11</v>
      </c>
      <c r="D5">
        <v>30921183</v>
      </c>
      <c r="E5">
        <v>41676958</v>
      </c>
      <c r="F5">
        <v>199755797</v>
      </c>
      <c r="G5">
        <v>168567380</v>
      </c>
      <c r="H5">
        <v>96224807</v>
      </c>
      <c r="I5">
        <v>160977506</v>
      </c>
      <c r="J5">
        <v>82990643</v>
      </c>
      <c r="K5">
        <v>53373140</v>
      </c>
    </row>
    <row r="6" spans="1:11">
      <c r="B6">
        <v>2</v>
      </c>
      <c r="C6" t="s">
        <v>12</v>
      </c>
      <c r="D6">
        <v>6912277</v>
      </c>
      <c r="E6">
        <v>7469614</v>
      </c>
      <c r="F6">
        <v>9074808</v>
      </c>
      <c r="G6">
        <v>8781993</v>
      </c>
      <c r="H6">
        <v>13168290</v>
      </c>
      <c r="I6">
        <v>14054241</v>
      </c>
      <c r="J6">
        <v>14111460</v>
      </c>
      <c r="K6">
        <v>17095986</v>
      </c>
    </row>
    <row r="7" spans="1:11">
      <c r="B7" t="s">
        <v>13</v>
      </c>
      <c r="D7">
        <v>37833460</v>
      </c>
      <c r="E7">
        <v>49146572</v>
      </c>
      <c r="F7">
        <v>208830605</v>
      </c>
      <c r="G7">
        <v>177349373</v>
      </c>
      <c r="H7">
        <v>109393097</v>
      </c>
      <c r="I7">
        <v>175031747</v>
      </c>
      <c r="J7">
        <v>97102103</v>
      </c>
      <c r="K7">
        <v>70469126</v>
      </c>
    </row>
    <row r="8" spans="1:11">
      <c r="B8" t="s">
        <v>14</v>
      </c>
      <c r="D8">
        <v>0.81729725486381632</v>
      </c>
      <c r="E8">
        <v>0.84801352981444977</v>
      </c>
      <c r="F8">
        <v>0.9565446453598121</v>
      </c>
      <c r="G8">
        <v>0.95048196195201662</v>
      </c>
      <c r="H8">
        <v>0.87962412290055192</v>
      </c>
      <c r="I8">
        <v>0.91970461792854075</v>
      </c>
      <c r="J8">
        <v>0.85467400227160883</v>
      </c>
      <c r="K8">
        <v>0.75739750199257472</v>
      </c>
    </row>
    <row r="9" spans="1:11">
      <c r="B9" t="s">
        <v>15</v>
      </c>
      <c r="D9">
        <v>0.18270274513618368</v>
      </c>
      <c r="E9">
        <v>0.15198647018555028</v>
      </c>
      <c r="F9">
        <v>4.3455354640187918E-2</v>
      </c>
      <c r="G9">
        <v>4.9518038047983402E-2</v>
      </c>
      <c r="H9">
        <v>0.12037587709944805</v>
      </c>
      <c r="I9">
        <v>8.0295382071459295E-2</v>
      </c>
      <c r="J9">
        <v>0.14532599772839111</v>
      </c>
      <c r="K9">
        <v>0.24260249800742525</v>
      </c>
    </row>
    <row r="10" spans="1:11">
      <c r="A10">
        <v>2</v>
      </c>
      <c r="B10" t="s">
        <v>16</v>
      </c>
    </row>
    <row r="11" spans="1:11">
      <c r="B11">
        <v>1</v>
      </c>
      <c r="C11" t="s">
        <v>17</v>
      </c>
      <c r="D11">
        <v>16982765</v>
      </c>
      <c r="E11">
        <v>18986860</v>
      </c>
      <c r="F11">
        <v>24871347</v>
      </c>
      <c r="G11">
        <v>28444165</v>
      </c>
      <c r="H11">
        <v>31179875</v>
      </c>
      <c r="I11">
        <v>21611154</v>
      </c>
      <c r="J11">
        <v>37780850</v>
      </c>
      <c r="K11">
        <v>35392663</v>
      </c>
    </row>
    <row r="12" spans="1:11">
      <c r="B12">
        <v>2</v>
      </c>
      <c r="C12" t="s">
        <v>18</v>
      </c>
      <c r="D12">
        <v>15050703</v>
      </c>
      <c r="E12">
        <v>17475268</v>
      </c>
      <c r="F12">
        <v>25897670</v>
      </c>
      <c r="G12">
        <v>30202704</v>
      </c>
      <c r="H12">
        <v>36755782</v>
      </c>
      <c r="I12">
        <v>37771864</v>
      </c>
      <c r="J12">
        <v>39451397</v>
      </c>
      <c r="K12">
        <v>34009300</v>
      </c>
    </row>
    <row r="13" spans="1:11">
      <c r="B13">
        <v>3</v>
      </c>
      <c r="C13" t="s">
        <v>19</v>
      </c>
      <c r="D13">
        <v>4694992</v>
      </c>
      <c r="E13">
        <v>10514844</v>
      </c>
      <c r="F13">
        <v>154917588</v>
      </c>
      <c r="G13">
        <v>118702504</v>
      </c>
      <c r="H13">
        <v>40302440</v>
      </c>
      <c r="I13">
        <v>115648729</v>
      </c>
      <c r="J13">
        <v>19869856</v>
      </c>
      <c r="K13">
        <v>1067163</v>
      </c>
    </row>
    <row r="14" spans="1:11">
      <c r="B14">
        <v>4</v>
      </c>
      <c r="C14" t="s">
        <v>20</v>
      </c>
      <c r="D14">
        <v>1105000</v>
      </c>
      <c r="E14">
        <v>2169600</v>
      </c>
      <c r="F14">
        <v>3144000</v>
      </c>
      <c r="G14">
        <v>0</v>
      </c>
      <c r="H14">
        <v>1155000</v>
      </c>
      <c r="I14">
        <v>0</v>
      </c>
      <c r="J14">
        <v>0</v>
      </c>
      <c r="K14">
        <v>0</v>
      </c>
    </row>
    <row r="15" spans="1:11">
      <c r="B15" t="s">
        <v>21</v>
      </c>
      <c r="D15">
        <v>37833460</v>
      </c>
      <c r="E15">
        <v>49146572</v>
      </c>
      <c r="F15">
        <v>208830605</v>
      </c>
      <c r="G15">
        <v>177349373</v>
      </c>
      <c r="H15">
        <v>109393097</v>
      </c>
      <c r="I15">
        <v>175031747</v>
      </c>
      <c r="J15">
        <v>97102103</v>
      </c>
      <c r="K15">
        <v>70469126</v>
      </c>
    </row>
    <row r="16" spans="1:11">
      <c r="B16" t="s">
        <v>22</v>
      </c>
      <c r="D16">
        <v>0.44888215352230537</v>
      </c>
      <c r="E16">
        <v>0.38633131930340942</v>
      </c>
      <c r="F16">
        <v>0.1190981896547204</v>
      </c>
      <c r="G16">
        <v>0.16038491999630583</v>
      </c>
      <c r="H16">
        <v>0.28502598294662046</v>
      </c>
      <c r="I16">
        <v>0.12346990971872092</v>
      </c>
      <c r="J16">
        <v>0.38908374620887459</v>
      </c>
      <c r="K16">
        <v>0.50224353570101044</v>
      </c>
    </row>
    <row r="17" spans="1:11">
      <c r="B17" t="s">
        <v>23</v>
      </c>
      <c r="D17">
        <v>0.3978146064356789</v>
      </c>
      <c r="E17">
        <v>0.35557450476912206</v>
      </c>
      <c r="F17">
        <v>0.12401280932936051</v>
      </c>
      <c r="G17">
        <v>0.17030059643909765</v>
      </c>
      <c r="H17">
        <v>0.33599727046762373</v>
      </c>
      <c r="I17">
        <v>0.21580007425738601</v>
      </c>
      <c r="J17">
        <v>0.40628777113097131</v>
      </c>
      <c r="K17">
        <v>0.48261276860450913</v>
      </c>
    </row>
    <row r="18" spans="1:11">
      <c r="B18" t="s">
        <v>24</v>
      </c>
      <c r="D18">
        <v>0.12409628936925145</v>
      </c>
      <c r="E18">
        <v>0.21394867580998325</v>
      </c>
      <c r="F18">
        <v>0.74183373648704409</v>
      </c>
      <c r="G18">
        <v>0.66931448356459655</v>
      </c>
      <c r="H18">
        <v>0.36841849353620548</v>
      </c>
      <c r="I18">
        <v>0.66073001602389303</v>
      </c>
      <c r="J18">
        <v>0.20462848266015413</v>
      </c>
      <c r="K18">
        <v>1.5143695694480446E-2</v>
      </c>
    </row>
    <row r="19" spans="1:11">
      <c r="B19" t="s">
        <v>25</v>
      </c>
      <c r="D19">
        <v>2.9206950672764267E-2</v>
      </c>
      <c r="E19">
        <v>4.4145500117485303E-2</v>
      </c>
      <c r="F19">
        <v>1.505526452887497E-2</v>
      </c>
      <c r="G19">
        <v>0</v>
      </c>
      <c r="H19">
        <v>1.0558253049550284E-2</v>
      </c>
      <c r="I19">
        <v>0</v>
      </c>
      <c r="J19">
        <v>0</v>
      </c>
      <c r="K19">
        <v>0</v>
      </c>
    </row>
    <row r="20" spans="1:11">
      <c r="A20" t="s">
        <v>26</v>
      </c>
      <c r="D20" t="s">
        <v>28</v>
      </c>
      <c r="E20">
        <v>0.29902398564656796</v>
      </c>
      <c r="F20">
        <v>3.2491387802184857</v>
      </c>
      <c r="G20">
        <v>-0.15075008761287645</v>
      </c>
      <c r="H20">
        <v>-0.38317742459681547</v>
      </c>
      <c r="I20">
        <v>0.60002552080594262</v>
      </c>
      <c r="J20">
        <v>-0.44523148134949486</v>
      </c>
      <c r="K20">
        <v>-0.27427806584168424</v>
      </c>
    </row>
    <row r="21" spans="1:11">
      <c r="A21" t="s">
        <v>27</v>
      </c>
      <c r="D21">
        <v>-0.2060515468056221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9.1 DIPA 401007</vt:lpstr>
      <vt:lpstr>12.4.1 DIPA 401324</vt:lpstr>
      <vt:lpstr>13.4.1 DIPA 400145</vt:lpstr>
      <vt:lpstr>9.2 PNBP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2018-08-24T08:44:25Z</cp:lastPrinted>
  <dcterms:created xsi:type="dcterms:W3CDTF">2018-08-24T08:41:10Z</dcterms:created>
  <dcterms:modified xsi:type="dcterms:W3CDTF">2018-08-24T10:08:22Z</dcterms:modified>
</cp:coreProperties>
</file>